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autoCompressPictures="0" defaultThemeVersion="124226"/>
  <mc:AlternateContent xmlns:mc="http://schemas.openxmlformats.org/markup-compatibility/2006">
    <mc:Choice Requires="x15">
      <x15ac:absPath xmlns:x15ac="http://schemas.microsoft.com/office/spreadsheetml/2010/11/ac" url="C:\Users\marcf\Desktop\webinars\May 29th - ADU\from maxable\excel\"/>
    </mc:Choice>
  </mc:AlternateContent>
  <xr:revisionPtr revIDLastSave="0" documentId="13_ncr:1_{51B307DC-9A53-44DD-B58A-8BDE1EC432F1}" xr6:coauthVersionLast="43" xr6:coauthVersionMax="43" xr10:uidLastSave="{00000000-0000-0000-0000-000000000000}"/>
  <bookViews>
    <workbookView xWindow="-120" yWindow="-120" windowWidth="29040" windowHeight="15840" xr2:uid="{00000000-000D-0000-FFFF-FFFF00000000}"/>
  </bookViews>
  <sheets>
    <sheet name="Step 1 - Assumptions" sheetId="1" r:id="rId1"/>
    <sheet name="Step 2 - Results" sheetId="8" r:id="rId2"/>
    <sheet name="Step 3 - Benefit Cost Analysis" sheetId="3" r:id="rId3"/>
    <sheet name="Step 4 Break-even" sheetId="6" r:id="rId4"/>
    <sheet name="payment frequency" sheetId="7" state="hidden" r:id="rId5"/>
  </sheets>
  <definedNames>
    <definedName name="_xlnm.Print_Area" localSheetId="0">'Step 1 - Assumptions'!$B$4:$F$21</definedName>
    <definedName name="_xlnm.Print_Area" localSheetId="2">'Step 3 - Benefit Cost Analysis'!$A$5:$N$44</definedName>
    <definedName name="_xlnm.Print_Area" localSheetId="3">'Step 4 Break-even'!$B$5:$E$37</definedName>
    <definedName name="Z_4F8E946C_576B_4F5C_9A70_E90BD55E70A4_.wvu.PrintArea" localSheetId="0" hidden="1">'Step 1 - Assumptions'!$B$4:$F$21</definedName>
    <definedName name="Z_4F8E946C_576B_4F5C_9A70_E90BD55E70A4_.wvu.PrintArea" localSheetId="2" hidden="1">'Step 3 - Benefit Cost Analysis'!$A$5:$N$44</definedName>
    <definedName name="Z_4F8E946C_576B_4F5C_9A70_E90BD55E70A4_.wvu.PrintArea" localSheetId="3" hidden="1">'Step 4 Break-even'!$B$5:$E$37</definedName>
  </definedNames>
  <calcPr calcId="191029" concurrentCalc="0"/>
  <customWorkbookViews>
    <customWorkbookView name="Lisa Vermillion - Personal View" guid="{4F8E946C-576B-4F5C-9A70-E90BD55E70A4}" mergeInterval="0" personalView="1" xWindow="15" yWindow="33" windowWidth="1199" windowHeight="479"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1" l="1"/>
  <c r="C8" i="3"/>
  <c r="G8" i="3"/>
  <c r="A8" i="3"/>
  <c r="A9" i="3"/>
  <c r="A10" i="3"/>
  <c r="A11" i="3"/>
  <c r="A12" i="3"/>
  <c r="A13" i="3"/>
  <c r="A14" i="3"/>
  <c r="A15" i="3"/>
  <c r="A16" i="3"/>
  <c r="A17" i="3"/>
  <c r="A20" i="3"/>
  <c r="A21" i="3"/>
  <c r="A22" i="3"/>
  <c r="A23" i="3"/>
  <c r="A24" i="3"/>
  <c r="A25" i="3"/>
  <c r="A26" i="3"/>
  <c r="A27" i="3"/>
  <c r="A28" i="3"/>
  <c r="A29" i="3"/>
  <c r="A32" i="3"/>
  <c r="E9" i="3"/>
  <c r="E10" i="3"/>
  <c r="K8" i="3"/>
  <c r="K21" i="3"/>
  <c r="C14" i="1"/>
  <c r="C15" i="1"/>
  <c r="J13" i="3"/>
  <c r="J14" i="3"/>
  <c r="J15" i="3"/>
  <c r="J16" i="3"/>
  <c r="J17" i="3"/>
  <c r="J20" i="3"/>
  <c r="J21" i="3"/>
  <c r="J22" i="3"/>
  <c r="J23" i="3"/>
  <c r="J24" i="3"/>
  <c r="J25" i="3"/>
  <c r="J26" i="3"/>
  <c r="K26" i="3"/>
  <c r="J27" i="3"/>
  <c r="J28" i="3"/>
  <c r="J29" i="3"/>
  <c r="J32" i="3"/>
  <c r="J33" i="3"/>
  <c r="J34" i="3"/>
  <c r="J35" i="3"/>
  <c r="J36" i="3"/>
  <c r="J37" i="3"/>
  <c r="J38" i="3"/>
  <c r="K38" i="3"/>
  <c r="J39" i="3"/>
  <c r="J40" i="3"/>
  <c r="J41" i="3"/>
  <c r="D8" i="3"/>
  <c r="D9" i="3"/>
  <c r="C5" i="6"/>
  <c r="E12"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I44" i="3"/>
  <c r="K9" i="3"/>
  <c r="E31" i="6"/>
  <c r="E28" i="6"/>
  <c r="E8" i="6"/>
  <c r="M38" i="3"/>
  <c r="K20" i="3"/>
  <c r="M20" i="3"/>
  <c r="N20" i="3"/>
  <c r="E24" i="6"/>
  <c r="K32" i="3"/>
  <c r="M32" i="3"/>
  <c r="N32" i="3"/>
  <c r="E23" i="6"/>
  <c r="K36" i="3"/>
  <c r="M36" i="3"/>
  <c r="K24" i="3"/>
  <c r="K17" i="3"/>
  <c r="M17" i="3"/>
  <c r="N17" i="3"/>
  <c r="K13" i="3"/>
  <c r="M13" i="3"/>
  <c r="N13" i="3"/>
  <c r="M26" i="3"/>
  <c r="N26" i="3"/>
  <c r="M24" i="3"/>
  <c r="N24" i="3"/>
  <c r="K14" i="3"/>
  <c r="M14" i="3"/>
  <c r="N14" i="3"/>
  <c r="E20" i="6"/>
  <c r="E16" i="6"/>
  <c r="K40" i="3"/>
  <c r="M40" i="3"/>
  <c r="K28" i="3"/>
  <c r="M28" i="3"/>
  <c r="N28" i="3"/>
  <c r="K16" i="3"/>
  <c r="M16" i="3"/>
  <c r="N16" i="3"/>
  <c r="K12" i="3"/>
  <c r="C9" i="3"/>
  <c r="C10" i="3"/>
  <c r="G10" i="3"/>
  <c r="K34" i="3"/>
  <c r="M34" i="3"/>
  <c r="K22" i="3"/>
  <c r="M22" i="3"/>
  <c r="N22" i="3"/>
  <c r="K11" i="3"/>
  <c r="E36" i="6"/>
  <c r="E15" i="6"/>
  <c r="E32" i="6"/>
  <c r="K15" i="3"/>
  <c r="M15" i="3"/>
  <c r="N15" i="3"/>
  <c r="K10" i="3"/>
  <c r="M21" i="3"/>
  <c r="N21" i="3"/>
  <c r="A33" i="3"/>
  <c r="A34" i="3"/>
  <c r="A35" i="3"/>
  <c r="A36" i="3"/>
  <c r="A37" i="3"/>
  <c r="A38" i="3"/>
  <c r="A39" i="3"/>
  <c r="A40" i="3"/>
  <c r="A41" i="3"/>
  <c r="J10" i="3"/>
  <c r="J12" i="3"/>
  <c r="J11" i="3"/>
  <c r="J9" i="3"/>
  <c r="M9" i="3"/>
  <c r="N9" i="3"/>
  <c r="E11" i="3"/>
  <c r="E12" i="3"/>
  <c r="E13" i="3"/>
  <c r="E14" i="3"/>
  <c r="E15" i="3"/>
  <c r="E16" i="3"/>
  <c r="E17" i="3"/>
  <c r="E20" i="3"/>
  <c r="E21" i="3"/>
  <c r="E22" i="3"/>
  <c r="E23" i="3"/>
  <c r="E24" i="3"/>
  <c r="E25" i="3"/>
  <c r="E26" i="3"/>
  <c r="E27" i="3"/>
  <c r="E28" i="3"/>
  <c r="E29" i="3"/>
  <c r="E32" i="3"/>
  <c r="E33" i="3"/>
  <c r="E34" i="3"/>
  <c r="E35" i="3"/>
  <c r="E36" i="3"/>
  <c r="E37" i="3"/>
  <c r="E38" i="3"/>
  <c r="E39" i="3"/>
  <c r="E40" i="3"/>
  <c r="E41" i="3"/>
  <c r="D10" i="3"/>
  <c r="J8" i="3"/>
  <c r="M8" i="3"/>
  <c r="N8" i="3"/>
  <c r="H8" i="3"/>
  <c r="E30" i="6"/>
  <c r="E22" i="6"/>
  <c r="E14" i="6"/>
  <c r="E7" i="6"/>
  <c r="E29" i="6"/>
  <c r="E21" i="6"/>
  <c r="E13" i="6"/>
  <c r="E35" i="6"/>
  <c r="E27" i="6"/>
  <c r="E19" i="6"/>
  <c r="E11" i="6"/>
  <c r="E34" i="6"/>
  <c r="E26" i="6"/>
  <c r="E18" i="6"/>
  <c r="E10" i="6"/>
  <c r="E33" i="6"/>
  <c r="E25" i="6"/>
  <c r="E17" i="6"/>
  <c r="E9" i="6"/>
  <c r="K41" i="3"/>
  <c r="M41" i="3"/>
  <c r="N41" i="3"/>
  <c r="K39" i="3"/>
  <c r="M39" i="3"/>
  <c r="K37" i="3"/>
  <c r="M37" i="3"/>
  <c r="K35" i="3"/>
  <c r="M35" i="3"/>
  <c r="K33" i="3"/>
  <c r="M33" i="3"/>
  <c r="K29" i="3"/>
  <c r="M29" i="3"/>
  <c r="N29" i="3"/>
  <c r="K27" i="3"/>
  <c r="M27" i="3"/>
  <c r="N27" i="3"/>
  <c r="K25" i="3"/>
  <c r="M25" i="3"/>
  <c r="N25" i="3"/>
  <c r="K23" i="3"/>
  <c r="M23" i="3"/>
  <c r="N23" i="3"/>
  <c r="G9" i="3"/>
  <c r="H9" i="3"/>
  <c r="M10" i="3"/>
  <c r="N10" i="3"/>
  <c r="C11" i="3"/>
  <c r="G11" i="3"/>
  <c r="H11" i="3"/>
  <c r="N38" i="3"/>
  <c r="N33" i="3"/>
  <c r="N35" i="3"/>
  <c r="N36" i="3"/>
  <c r="N40" i="3"/>
  <c r="N37" i="3"/>
  <c r="N39" i="3"/>
  <c r="M11" i="3"/>
  <c r="N11" i="3"/>
  <c r="M12" i="3"/>
  <c r="N12" i="3"/>
  <c r="D11" i="3"/>
  <c r="D12" i="3"/>
  <c r="D13" i="3"/>
  <c r="D14" i="3"/>
  <c r="D15" i="3"/>
  <c r="D16" i="3"/>
  <c r="D17" i="3"/>
  <c r="D20" i="3"/>
  <c r="D21" i="3"/>
  <c r="D22" i="3"/>
  <c r="D23" i="3"/>
  <c r="D24" i="3"/>
  <c r="D25" i="3"/>
  <c r="D26" i="3"/>
  <c r="D27" i="3"/>
  <c r="D28" i="3"/>
  <c r="D29" i="3"/>
  <c r="D32" i="3"/>
  <c r="D33" i="3"/>
  <c r="D34" i="3"/>
  <c r="D35" i="3"/>
  <c r="D36" i="3"/>
  <c r="D37" i="3"/>
  <c r="D38" i="3"/>
  <c r="D39" i="3"/>
  <c r="D40" i="3"/>
  <c r="D41" i="3"/>
  <c r="N30" i="3"/>
  <c r="E48" i="8"/>
  <c r="C7" i="6"/>
  <c r="D7" i="6"/>
  <c r="C12" i="3"/>
  <c r="H10" i="3"/>
  <c r="C9" i="6"/>
  <c r="N34" i="3"/>
  <c r="C8" i="6"/>
  <c r="D8" i="6"/>
  <c r="D9" i="6"/>
  <c r="C10" i="6"/>
  <c r="D10" i="6"/>
  <c r="N18" i="3"/>
  <c r="B48" i="8"/>
  <c r="N42" i="3"/>
  <c r="C13" i="3"/>
  <c r="G12" i="3"/>
  <c r="N44" i="3"/>
  <c r="B57" i="8"/>
  <c r="H48" i="8"/>
  <c r="H12" i="3"/>
  <c r="C11" i="6"/>
  <c r="D11" i="6"/>
  <c r="G13" i="3"/>
  <c r="C14" i="3"/>
  <c r="G14" i="3"/>
  <c r="C15" i="3"/>
  <c r="C12" i="6"/>
  <c r="D12" i="6"/>
  <c r="H13" i="3"/>
  <c r="C16" i="3"/>
  <c r="G15" i="3"/>
  <c r="H14" i="3"/>
  <c r="C13" i="6"/>
  <c r="D13" i="6"/>
  <c r="C14" i="6"/>
  <c r="D14" i="6"/>
  <c r="H15" i="3"/>
  <c r="G16" i="3"/>
  <c r="C17" i="3"/>
  <c r="C20" i="3"/>
  <c r="G17" i="3"/>
  <c r="C15" i="6"/>
  <c r="D15" i="6"/>
  <c r="H16" i="3"/>
  <c r="H17" i="3"/>
  <c r="H18" i="3"/>
  <c r="C16" i="6"/>
  <c r="D16" i="6"/>
  <c r="C21" i="3"/>
  <c r="G20" i="3"/>
  <c r="H20" i="3"/>
  <c r="C17" i="6"/>
  <c r="D17" i="6"/>
  <c r="G21" i="3"/>
  <c r="C22" i="3"/>
  <c r="B47" i="8"/>
  <c r="B49" i="8"/>
  <c r="D41" i="8"/>
  <c r="C23" i="3"/>
  <c r="G22" i="3"/>
  <c r="C18" i="6"/>
  <c r="D18" i="6"/>
  <c r="H21" i="3"/>
  <c r="H22" i="3"/>
  <c r="C19" i="6"/>
  <c r="D19" i="6"/>
  <c r="G23" i="3"/>
  <c r="C24" i="3"/>
  <c r="G24" i="3"/>
  <c r="C25" i="3"/>
  <c r="H23" i="3"/>
  <c r="C20" i="6"/>
  <c r="D20" i="6"/>
  <c r="C26" i="3"/>
  <c r="G25" i="3"/>
  <c r="C21" i="6"/>
  <c r="D21" i="6"/>
  <c r="H24" i="3"/>
  <c r="H25" i="3"/>
  <c r="C22" i="6"/>
  <c r="D22" i="6"/>
  <c r="G26" i="3"/>
  <c r="C27" i="3"/>
  <c r="G27" i="3"/>
  <c r="C28" i="3"/>
  <c r="C23" i="6"/>
  <c r="D23" i="6"/>
  <c r="H26" i="3"/>
  <c r="C29" i="3"/>
  <c r="G28" i="3"/>
  <c r="H27" i="3"/>
  <c r="C24" i="6"/>
  <c r="D24" i="6"/>
  <c r="C25" i="6"/>
  <c r="D25" i="6"/>
  <c r="H28" i="3"/>
  <c r="G29" i="3"/>
  <c r="C32" i="3"/>
  <c r="G32" i="3"/>
  <c r="C33" i="3"/>
  <c r="C26" i="6"/>
  <c r="D26" i="6"/>
  <c r="H29" i="3"/>
  <c r="H30" i="3"/>
  <c r="E41" i="8"/>
  <c r="E47" i="8"/>
  <c r="E49" i="8"/>
  <c r="C34" i="3"/>
  <c r="G33" i="3"/>
  <c r="H32" i="3"/>
  <c r="C27" i="6"/>
  <c r="D27" i="6"/>
  <c r="C28" i="6"/>
  <c r="D28" i="6"/>
  <c r="H33" i="3"/>
  <c r="G34" i="3"/>
  <c r="C35" i="3"/>
  <c r="C36" i="3"/>
  <c r="G35" i="3"/>
  <c r="H34" i="3"/>
  <c r="C29" i="6"/>
  <c r="D29" i="6"/>
  <c r="H35" i="3"/>
  <c r="C30" i="6"/>
  <c r="D30" i="6"/>
  <c r="G36" i="3"/>
  <c r="C37" i="3"/>
  <c r="C31" i="6"/>
  <c r="D31" i="6"/>
  <c r="H36" i="3"/>
  <c r="G37" i="3"/>
  <c r="C38" i="3"/>
  <c r="H37" i="3"/>
  <c r="C32" i="6"/>
  <c r="D32" i="6"/>
  <c r="C39" i="3"/>
  <c r="G38" i="3"/>
  <c r="G39" i="3"/>
  <c r="C40" i="3"/>
  <c r="H38" i="3"/>
  <c r="C33" i="6"/>
  <c r="D33" i="6"/>
  <c r="G40" i="3"/>
  <c r="C41" i="3"/>
  <c r="G41" i="3"/>
  <c r="C34" i="6"/>
  <c r="D34" i="6"/>
  <c r="H39" i="3"/>
  <c r="C36" i="6"/>
  <c r="H41" i="3"/>
  <c r="H40" i="3"/>
  <c r="C35" i="6"/>
  <c r="D35" i="6"/>
  <c r="D36" i="6"/>
  <c r="E5" i="6"/>
  <c r="E11" i="8"/>
  <c r="H42" i="3"/>
  <c r="F41" i="8"/>
  <c r="G41" i="8"/>
  <c r="H44" i="3"/>
  <c r="H47" i="8"/>
  <c r="H49" i="8"/>
  <c r="B56" i="8"/>
  <c r="B58" i="8"/>
</calcChain>
</file>

<file path=xl/sharedStrings.xml><?xml version="1.0" encoding="utf-8"?>
<sst xmlns="http://schemas.openxmlformats.org/spreadsheetml/2006/main" count="112" uniqueCount="100">
  <si>
    <t>Base Year</t>
  </si>
  <si>
    <t>Time Horizon in Years</t>
  </si>
  <si>
    <t>YEAR</t>
  </si>
  <si>
    <t>COSTS</t>
  </si>
  <si>
    <t>TOTAL BENEFITS ANNUALLY</t>
  </si>
  <si>
    <t>TOTAL COSTS ANNUALLY</t>
  </si>
  <si>
    <t>TOTAL BENEFITS ANNUALLY - DISCOUNTED</t>
  </si>
  <si>
    <t>TOTAL COSTS ANNUALLY - DISCOUNTED</t>
  </si>
  <si>
    <t>Rent Income</t>
  </si>
  <si>
    <t>Loan payments are made at the same time rent income is collected with no gaps</t>
  </si>
  <si>
    <t>0-10 YEARS</t>
  </si>
  <si>
    <t>11-20 YEARS</t>
  </si>
  <si>
    <t>21-30 YEARS</t>
  </si>
  <si>
    <t>TOTAL</t>
  </si>
  <si>
    <t xml:space="preserve">Total financed </t>
  </si>
  <si>
    <t>Property Appreciation Rate</t>
  </si>
  <si>
    <t>Construction Loan APR, 30-year fixed</t>
  </si>
  <si>
    <t>Appreciation on ADU structure</t>
  </si>
  <si>
    <t>30 YEARS COMBINED</t>
  </si>
  <si>
    <t>ADU Property Taxes</t>
  </si>
  <si>
    <t>Down Payment &amp; Loan Payment</t>
  </si>
  <si>
    <t>YR 0-10 TOTAL</t>
  </si>
  <si>
    <t>YR 11-20 TOTAL</t>
  </si>
  <si>
    <t>YR 21-30 TOTAL</t>
  </si>
  <si>
    <t>YR 0-30 TOTAL</t>
  </si>
  <si>
    <t>Total design, build, and permitting costs</t>
  </si>
  <si>
    <t>Loan term in years</t>
  </si>
  <si>
    <t>Estimated ADU value</t>
  </si>
  <si>
    <t>ANNUAL - return 
(Real Value)</t>
  </si>
  <si>
    <t>TOTAL Cost (not including loan interest)</t>
  </si>
  <si>
    <t>Number of years to break even</t>
  </si>
  <si>
    <t>Total accumulated return</t>
  </si>
  <si>
    <t>Payment frequency</t>
  </si>
  <si>
    <t>monthly</t>
  </si>
  <si>
    <t>bi-weekly</t>
  </si>
  <si>
    <t>weekly</t>
  </si>
  <si>
    <t>yearly</t>
  </si>
  <si>
    <t>number of payment periods</t>
  </si>
  <si>
    <t>effective rate</t>
  </si>
  <si>
    <t>BENEFITS</t>
  </si>
  <si>
    <t>Enter based on your loan terms.  This cell is ignored if you're not financing.</t>
  </si>
  <si>
    <t>Monthly rental income gained from having ADU (can be from main structure as long as the benefit is gained because of the addition of the ADU)</t>
  </si>
  <si>
    <t>This calculator does not include utilities</t>
  </si>
  <si>
    <t xml:space="preserve">Examples of factors NOT included: rebates, maintenance costs, insurance, time discount rate, existing mortgage. </t>
  </si>
  <si>
    <t>Starting value of ADU</t>
  </si>
  <si>
    <t>Step 1: Define Assumptions</t>
  </si>
  <si>
    <t>Definition  / Instructions</t>
  </si>
  <si>
    <t>Disclaimers</t>
  </si>
  <si>
    <t>Loan Payment amount</t>
  </si>
  <si>
    <t xml:space="preserve">Annual Property Tax added, due to ADU </t>
  </si>
  <si>
    <t>Enter the amount of rent you plan to collect monthly</t>
  </si>
  <si>
    <t>If unknown use 3.810%</t>
  </si>
  <si>
    <t>Assumptions</t>
  </si>
  <si>
    <t>Step 2: Results</t>
  </si>
  <si>
    <t>Below are your results. We will walk you through each section</t>
  </si>
  <si>
    <t>In what Year will I break Even?</t>
  </si>
  <si>
    <t>What is my return every 10 Years?</t>
  </si>
  <si>
    <t>Curious to see how we came to the conclusion? Below is how we calculated your income and cost associated with each year</t>
  </si>
  <si>
    <t>Results</t>
  </si>
  <si>
    <t>Welcome!</t>
  </si>
  <si>
    <t xml:space="preserve">Income </t>
  </si>
  <si>
    <t>Costs</t>
  </si>
  <si>
    <t>Net Benefits</t>
  </si>
  <si>
    <t>Net Benefit</t>
  </si>
  <si>
    <t>Total 30 Years</t>
  </si>
  <si>
    <t>Third Decade</t>
  </si>
  <si>
    <t>First Decade</t>
  </si>
  <si>
    <t>Second Decade</t>
  </si>
  <si>
    <t>What Does My Investment look like over time?</t>
  </si>
  <si>
    <t>Step 3: Cost / Benefit Analysis</t>
  </si>
  <si>
    <t>Step 4: Break Even Analysis</t>
  </si>
  <si>
    <t xml:space="preserve">We use the data from the cost / benefit analysis in Step 3 to run an accumulated return. We then compare this to your initial investment to calculate your break even point, highlighted below. </t>
  </si>
  <si>
    <t>Initial Investment
(for break even graph only)</t>
  </si>
  <si>
    <r>
      <t xml:space="preserve">Number of Years to break even 
</t>
    </r>
    <r>
      <rPr>
        <b/>
        <sz val="10"/>
        <color theme="0"/>
        <rFont val="Roboto"/>
      </rPr>
      <t>(does not refer to payoff of mortgage)</t>
    </r>
  </si>
  <si>
    <t xml:space="preserve">    Cost / Benefit Analysis</t>
  </si>
  <si>
    <t xml:space="preserve">             Cost / Benefit Analysis</t>
  </si>
  <si>
    <t>We did everything for you,  but if you want to see how review the details below. Each year we have calculated your income which consists of your rent income, ADU value, ant the ADU Appreciation. We have also calculated your costs which includes the loan payments, and property taxes. We separated it by every 10 years to highlight key milestones within a 30 year period.</t>
  </si>
  <si>
    <r>
      <t xml:space="preserve">In this initial sheet we will define our assumptions. These assumptions will be used in the math to calculate your break even point in future sheets.
Simply fill in all cells in  </t>
    </r>
    <r>
      <rPr>
        <b/>
        <sz val="12"/>
        <color rgb="FF6E6B76"/>
        <rFont val="Roboto"/>
      </rPr>
      <t>grey</t>
    </r>
    <r>
      <rPr>
        <sz val="12"/>
        <color indexed="8"/>
        <rFont val="Roboto"/>
      </rPr>
      <t xml:space="preserve"> with you assumed costs / budgets, income and loan terms if applicable. 
If you get stuck, review the "Suggested Reading" Column, and "Definition Column" next to each cell</t>
    </r>
  </si>
  <si>
    <t>loan down payment, or cash paid</t>
  </si>
  <si>
    <t>Rent Inflation Rate</t>
  </si>
  <si>
    <t>Loan payments start during the first month of the loan</t>
  </si>
  <si>
    <t>This spread sheet is for planning purposes only, and results are not guaranteed</t>
  </si>
  <si>
    <t>How much do you plan on financing? Enter that dollar amount here.</t>
  </si>
  <si>
    <t>Enter your loan APR.  This cell is ignored if you're not financing.</t>
  </si>
  <si>
    <t>What will the entire project cost? Enter based on your budget or estimate.</t>
  </si>
  <si>
    <t>Enter the year your project will begin.</t>
  </si>
  <si>
    <t>Enter what you plan on putting down as a down payment. Note: most construction loans require 20% down.</t>
  </si>
  <si>
    <t>How often are you making loan payments? Choose an option from drop down list.  This cell is ignored if you're not financing.</t>
  </si>
  <si>
    <t>This cell will calculate the number of total payments you will make to pay off the loan.</t>
  </si>
  <si>
    <t>This is the amount you will need to pay each loan payment.</t>
  </si>
  <si>
    <t>The table below highlights how many years it will take before you break even.</t>
  </si>
  <si>
    <t>The table below highlights your return with each decade.</t>
  </si>
  <si>
    <t xml:space="preserve">Enter based on your appraisal estimate. Or, in lieu of this, enter 80% of the construction costs. </t>
  </si>
  <si>
    <t xml:space="preserve">Enter the amount of additional property tax you will have to pay as a result of the ADU. </t>
  </si>
  <si>
    <t xml:space="preserve">You can research this for your city with a quick google search. </t>
  </si>
  <si>
    <t>The graph bellow gives you a visual of your return compared to your costs over time.</t>
  </si>
  <si>
    <t>The Graph below shows your total investment in assets including the base value of your ADU, its appreciation and you income renters</t>
  </si>
  <si>
    <t>Now that all of your assumptions have been inputted we have calculated your results! Wasn't that easy? Of course if you would like to see the magic behind the results, feel free to review the additional sheets in this excel</t>
  </si>
  <si>
    <t>The graph shows you initial investment compared to your return. Where the 2 lines intersect is your break even point.</t>
  </si>
  <si>
    <r>
      <t xml:space="preserve">This spread sheet will walk you through calculating or when you will break even on your  accessory dwelling unit (ADU). There are a lot of things to consider, but we will make it easy for you by listing out the various items you need to think about, and even do most of the math for you! Simply follow the instructions below. For even more information about building an ADU visit </t>
    </r>
    <r>
      <rPr>
        <b/>
        <sz val="12"/>
        <color indexed="8"/>
        <rFont val="Roboto"/>
      </rPr>
      <t>MaxableSpace.com</t>
    </r>
    <r>
      <rPr>
        <sz val="12"/>
        <color indexed="8"/>
        <rFont val="Roboto"/>
      </rPr>
      <t xml:space="preserve">
THIS SPREAD SHEET IS LOCKED - so don't worry you can't mess up the formulas.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</si>
</sst>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0.000%"/>
    <numFmt numFmtId="166" formatCode="&quot;$&quot;#,##0"/>
  </numFmts>
  <fonts count="22">
    <font>
      <sz val="11"/>
      <color theme="1"/>
      <name val="Calibri"/>
      <family val="2"/>
      <scheme val="minor"/>
    </font>
    <font>
      <sz val="11"/>
      <color indexed="8"/>
      <name val="Calibri"/>
      <family val="2"/>
    </font>
    <font>
      <sz val="8"/>
      <name val="Calibri"/>
      <family val="2"/>
    </font>
    <font>
      <sz val="48"/>
      <color theme="1"/>
      <name val="Roboto"/>
    </font>
    <font>
      <sz val="11"/>
      <color theme="1"/>
      <name val="Roboto"/>
    </font>
    <font>
      <sz val="12"/>
      <color indexed="8"/>
      <name val="Roboto"/>
    </font>
    <font>
      <b/>
      <sz val="12"/>
      <color indexed="8"/>
      <name val="Roboto"/>
    </font>
    <font>
      <sz val="22"/>
      <color indexed="8"/>
      <name val="Roboto"/>
    </font>
    <font>
      <b/>
      <sz val="12"/>
      <name val="Roboto"/>
    </font>
    <font>
      <sz val="12"/>
      <name val="Roboto"/>
    </font>
    <font>
      <sz val="12"/>
      <color theme="1"/>
      <name val="Roboto"/>
    </font>
    <font>
      <b/>
      <u/>
      <sz val="16"/>
      <color theme="1"/>
      <name val="Roboto"/>
    </font>
    <font>
      <b/>
      <sz val="12"/>
      <color theme="1"/>
      <name val="Roboto"/>
    </font>
    <font>
      <b/>
      <sz val="11"/>
      <color indexed="8"/>
      <name val="Roboto"/>
    </font>
    <font>
      <sz val="11"/>
      <name val="Roboto"/>
    </font>
    <font>
      <sz val="48"/>
      <color rgb="FFF8BD17"/>
      <name val="Roboto"/>
    </font>
    <font>
      <b/>
      <sz val="12"/>
      <color theme="0"/>
      <name val="Roboto"/>
    </font>
    <font>
      <b/>
      <sz val="10"/>
      <color theme="0"/>
      <name val="Roboto"/>
    </font>
    <font>
      <sz val="12"/>
      <color theme="0"/>
      <name val="Roboto"/>
    </font>
    <font>
      <b/>
      <sz val="12"/>
      <color rgb="FFF8BD17"/>
      <name val="Roboto"/>
    </font>
    <font>
      <b/>
      <sz val="12"/>
      <color rgb="FF6E6B76"/>
      <name val="Roboto"/>
    </font>
    <font>
      <b/>
      <sz val="18"/>
      <color indexed="8"/>
      <name val="Roboto"/>
    </font>
  </fonts>
  <fills count="6">
    <fill>
      <patternFill patternType="none"/>
    </fill>
    <fill>
      <patternFill patternType="gray125"/>
    </fill>
    <fill>
      <patternFill patternType="solid">
        <fgColor theme="0"/>
        <bgColor indexed="64"/>
      </patternFill>
    </fill>
    <fill>
      <patternFill patternType="solid">
        <fgColor rgb="FF37323E"/>
        <bgColor indexed="64"/>
      </patternFill>
    </fill>
    <fill>
      <patternFill patternType="solid">
        <fgColor rgb="FFBFBDC1"/>
        <bgColor indexed="64"/>
      </patternFill>
    </fill>
    <fill>
      <patternFill patternType="solid">
        <fgColor rgb="FF6E6B7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0" fontId="5" fillId="0" borderId="0" xfId="0" applyFont="1" applyAlignment="1">
      <alignment vertical="top" wrapText="1"/>
    </xf>
    <xf numFmtId="0" fontId="6" fillId="2" borderId="0" xfId="0" applyFont="1" applyFill="1" applyAlignment="1">
      <alignment vertical="top" wrapText="1"/>
    </xf>
    <xf numFmtId="164" fontId="6" fillId="2" borderId="0" xfId="0" applyNumberFormat="1" applyFont="1" applyFill="1" applyAlignment="1">
      <alignment horizontal="right" vertical="top" wrapText="1"/>
    </xf>
    <xf numFmtId="44" fontId="8" fillId="2" borderId="0" xfId="1" applyFont="1" applyFill="1" applyAlignment="1">
      <alignment vertical="top" wrapText="1"/>
    </xf>
    <xf numFmtId="0" fontId="9" fillId="2" borderId="0" xfId="0" applyFont="1" applyFill="1" applyBorder="1" applyAlignment="1">
      <alignment vertical="top" wrapText="1"/>
    </xf>
    <xf numFmtId="0" fontId="5" fillId="2" borderId="0" xfId="0" applyFont="1" applyFill="1" applyAlignment="1">
      <alignment vertical="top" wrapText="1"/>
    </xf>
    <xf numFmtId="0" fontId="5" fillId="0" borderId="0" xfId="0" applyFont="1" applyFill="1" applyAlignment="1">
      <alignment vertical="top" wrapText="1"/>
    </xf>
    <xf numFmtId="0" fontId="5" fillId="2" borderId="13" xfId="0" applyFont="1" applyFill="1" applyBorder="1" applyAlignment="1">
      <alignment horizontal="left" vertical="top" wrapText="1"/>
    </xf>
    <xf numFmtId="0" fontId="5" fillId="2" borderId="0" xfId="0" applyFont="1" applyFill="1" applyAlignment="1">
      <alignment horizontal="left" vertical="top" wrapText="1"/>
    </xf>
    <xf numFmtId="0" fontId="5" fillId="0" borderId="0" xfId="0" applyFont="1" applyAlignment="1">
      <alignment horizontal="left" vertical="top" wrapText="1"/>
    </xf>
    <xf numFmtId="0" fontId="5" fillId="2" borderId="13" xfId="0" applyFont="1" applyFill="1" applyBorder="1" applyAlignment="1">
      <alignment vertical="top" wrapText="1"/>
    </xf>
    <xf numFmtId="0" fontId="5" fillId="2" borderId="14" xfId="0" applyFont="1" applyFill="1" applyBorder="1" applyAlignment="1">
      <alignment vertical="top" wrapText="1"/>
    </xf>
    <xf numFmtId="0" fontId="5" fillId="2" borderId="0" xfId="0" applyFont="1" applyFill="1" applyBorder="1" applyAlignment="1">
      <alignment horizontal="left" vertical="top" wrapText="1"/>
    </xf>
    <xf numFmtId="44" fontId="5" fillId="2" borderId="0" xfId="1" applyFont="1" applyFill="1" applyBorder="1" applyAlignment="1">
      <alignment horizontal="right" vertical="top" wrapText="1"/>
    </xf>
    <xf numFmtId="0" fontId="9" fillId="2" borderId="0" xfId="0" applyFont="1" applyFill="1" applyBorder="1" applyAlignment="1">
      <alignment horizontal="left" vertical="top" wrapText="1"/>
    </xf>
    <xf numFmtId="0" fontId="5" fillId="0" borderId="0" xfId="0" applyFont="1" applyFill="1" applyAlignment="1">
      <alignment horizontal="left" vertical="top" wrapText="1"/>
    </xf>
    <xf numFmtId="44" fontId="9" fillId="2" borderId="0" xfId="1" applyFont="1" applyFill="1" applyAlignment="1">
      <alignment vertical="top" wrapText="1"/>
    </xf>
    <xf numFmtId="44" fontId="9" fillId="0" borderId="0" xfId="1" applyFont="1" applyAlignment="1">
      <alignment vertical="top" wrapText="1"/>
    </xf>
    <xf numFmtId="44" fontId="9" fillId="0" borderId="0" xfId="1" applyFont="1" applyFill="1" applyAlignment="1">
      <alignment vertical="top" wrapText="1"/>
    </xf>
    <xf numFmtId="0" fontId="9" fillId="0" borderId="0" xfId="0" applyFont="1" applyFill="1" applyBorder="1" applyAlignment="1">
      <alignment vertical="top" wrapText="1"/>
    </xf>
    <xf numFmtId="0" fontId="7" fillId="2" borderId="8" xfId="0" applyFont="1" applyFill="1" applyBorder="1" applyAlignment="1">
      <alignment horizontal="left" vertical="center"/>
    </xf>
    <xf numFmtId="0" fontId="4" fillId="2" borderId="0" xfId="0" applyFont="1" applyFill="1"/>
    <xf numFmtId="0" fontId="11" fillId="2" borderId="0" xfId="0" applyFont="1" applyFill="1"/>
    <xf numFmtId="37" fontId="6" fillId="2" borderId="11" xfId="0" applyNumberFormat="1" applyFont="1" applyFill="1" applyBorder="1" applyAlignment="1">
      <alignment horizontal="center" vertical="center" wrapText="1"/>
    </xf>
    <xf numFmtId="0" fontId="8" fillId="2" borderId="1" xfId="0" applyFont="1" applyFill="1" applyBorder="1" applyAlignment="1">
      <alignment horizontal="right"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right" vertical="top" wrapText="1"/>
    </xf>
    <xf numFmtId="44" fontId="8" fillId="2" borderId="1" xfId="1" applyFont="1" applyFill="1" applyBorder="1" applyAlignment="1">
      <alignment horizontal="right" vertical="top" wrapText="1"/>
    </xf>
    <xf numFmtId="164" fontId="8" fillId="2" borderId="1" xfId="0" applyNumberFormat="1" applyFont="1" applyFill="1" applyBorder="1" applyAlignment="1">
      <alignment horizontal="right" vertical="top" wrapText="1"/>
    </xf>
    <xf numFmtId="0" fontId="10" fillId="2" borderId="0" xfId="0" applyFont="1" applyFill="1"/>
    <xf numFmtId="44" fontId="10" fillId="2" borderId="0" xfId="0" applyNumberFormat="1" applyFont="1" applyFill="1"/>
    <xf numFmtId="44" fontId="10" fillId="2" borderId="8" xfId="0" applyNumberFormat="1" applyFont="1" applyFill="1" applyBorder="1"/>
    <xf numFmtId="164" fontId="10" fillId="2" borderId="0" xfId="0" applyNumberFormat="1" applyFont="1" applyFill="1"/>
    <xf numFmtId="8" fontId="10" fillId="2" borderId="0" xfId="0" applyNumberFormat="1" applyFont="1" applyFill="1"/>
    <xf numFmtId="0" fontId="6" fillId="2" borderId="0" xfId="0" applyFont="1" applyFill="1" applyBorder="1" applyAlignment="1">
      <alignment horizontal="center"/>
    </xf>
    <xf numFmtId="0" fontId="6" fillId="2" borderId="0" xfId="0" applyFont="1" applyFill="1" applyAlignment="1">
      <alignment vertical="center"/>
    </xf>
    <xf numFmtId="0" fontId="6" fillId="2" borderId="2" xfId="0" applyFont="1" applyFill="1" applyBorder="1" applyAlignment="1">
      <alignment horizontal="center" vertical="center" wrapText="1"/>
    </xf>
    <xf numFmtId="0" fontId="6" fillId="2" borderId="2" xfId="1" applyNumberFormat="1" applyFont="1" applyFill="1" applyBorder="1" applyAlignment="1">
      <alignment horizontal="center" vertical="center" wrapText="1"/>
    </xf>
    <xf numFmtId="0" fontId="6" fillId="2" borderId="3" xfId="1"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13" fillId="0" borderId="0" xfId="0" applyFont="1"/>
    <xf numFmtId="44" fontId="10" fillId="2" borderId="2" xfId="0" applyNumberFormat="1" applyFont="1" applyFill="1" applyBorder="1"/>
    <xf numFmtId="44" fontId="10" fillId="2" borderId="1" xfId="0" applyNumberFormat="1" applyFont="1" applyFill="1" applyBorder="1"/>
    <xf numFmtId="44" fontId="10" fillId="2" borderId="2" xfId="1" applyFont="1" applyFill="1" applyBorder="1" applyAlignment="1">
      <alignment horizontal="right"/>
    </xf>
    <xf numFmtId="44" fontId="10" fillId="2" borderId="1" xfId="1" applyFont="1" applyFill="1" applyBorder="1" applyAlignment="1">
      <alignment horizontal="right"/>
    </xf>
    <xf numFmtId="44" fontId="5" fillId="2" borderId="1" xfId="0" applyNumberFormat="1" applyFont="1" applyFill="1" applyBorder="1"/>
    <xf numFmtId="0" fontId="10" fillId="2" borderId="0" xfId="0" applyFont="1" applyFill="1" applyAlignment="1">
      <alignment horizontal="right"/>
    </xf>
    <xf numFmtId="44" fontId="5" fillId="2" borderId="0" xfId="0" applyNumberFormat="1" applyFont="1" applyFill="1"/>
    <xf numFmtId="0" fontId="4" fillId="0" borderId="0" xfId="0" applyFont="1" applyFill="1"/>
    <xf numFmtId="0" fontId="13" fillId="2" borderId="0" xfId="0" applyFont="1" applyFill="1"/>
    <xf numFmtId="0" fontId="3" fillId="2" borderId="0" xfId="0" applyFont="1" applyFill="1" applyAlignment="1"/>
    <xf numFmtId="0" fontId="5" fillId="2" borderId="0" xfId="0" applyFont="1" applyFill="1" applyBorder="1" applyAlignment="1">
      <alignment vertical="center" wrapText="1"/>
    </xf>
    <xf numFmtId="44" fontId="10" fillId="0" borderId="1" xfId="0" applyNumberFormat="1" applyFont="1" applyBorder="1"/>
    <xf numFmtId="44" fontId="10" fillId="0" borderId="1" xfId="1" applyFont="1" applyBorder="1"/>
    <xf numFmtId="44" fontId="10" fillId="0" borderId="1" xfId="0" applyNumberFormat="1" applyFont="1" applyFill="1" applyBorder="1"/>
    <xf numFmtId="44" fontId="9" fillId="0" borderId="1" xfId="0" applyNumberFormat="1" applyFont="1" applyFill="1" applyBorder="1"/>
    <xf numFmtId="0" fontId="14" fillId="0" borderId="0" xfId="0" applyFont="1" applyFill="1"/>
    <xf numFmtId="44" fontId="4" fillId="0" borderId="0" xfId="1" applyFont="1"/>
    <xf numFmtId="0" fontId="16" fillId="3" borderId="1" xfId="0" applyFont="1" applyFill="1" applyBorder="1" applyAlignment="1">
      <alignment horizontal="left" vertical="top" wrapText="1"/>
    </xf>
    <xf numFmtId="0" fontId="16" fillId="3" borderId="1" xfId="0" applyFont="1" applyFill="1" applyBorder="1" applyAlignment="1">
      <alignment horizontal="right" vertical="top" wrapText="1"/>
    </xf>
    <xf numFmtId="44" fontId="16" fillId="3" borderId="1" xfId="1" applyFont="1" applyFill="1" applyBorder="1" applyAlignment="1">
      <alignment horizontal="right" vertical="top" wrapText="1"/>
    </xf>
    <xf numFmtId="0" fontId="16" fillId="3" borderId="3" xfId="1" applyNumberFormat="1" applyFont="1" applyFill="1" applyBorder="1" applyAlignment="1">
      <alignment horizontal="center" vertical="center" wrapText="1"/>
    </xf>
    <xf numFmtId="44" fontId="16" fillId="3" borderId="3" xfId="1" applyFont="1" applyFill="1" applyBorder="1" applyAlignment="1">
      <alignment horizontal="center" vertical="center" wrapText="1"/>
    </xf>
    <xf numFmtId="0" fontId="18" fillId="3" borderId="2" xfId="0" applyFont="1" applyFill="1" applyBorder="1" applyAlignment="1">
      <alignment horizontal="center" vertical="center"/>
    </xf>
    <xf numFmtId="0" fontId="18" fillId="3" borderId="1" xfId="0" applyFont="1" applyFill="1" applyBorder="1" applyAlignment="1">
      <alignment horizontal="center" vertical="center"/>
    </xf>
    <xf numFmtId="0" fontId="16" fillId="3" borderId="1" xfId="0" applyFont="1" applyFill="1" applyBorder="1"/>
    <xf numFmtId="0" fontId="16" fillId="3" borderId="4" xfId="1" applyNumberFormat="1" applyFont="1" applyFill="1" applyBorder="1" applyAlignment="1">
      <alignment horizontal="center" vertical="center" wrapText="1"/>
    </xf>
    <xf numFmtId="0" fontId="16" fillId="3" borderId="1" xfId="1" applyNumberFormat="1" applyFont="1" applyFill="1" applyBorder="1" applyAlignment="1">
      <alignment horizontal="center" vertical="center" wrapText="1"/>
    </xf>
    <xf numFmtId="37" fontId="19" fillId="3" borderId="0" xfId="1" applyNumberFormat="1" applyFont="1" applyFill="1" applyAlignment="1">
      <alignment horizontal="center" vertical="center"/>
    </xf>
    <xf numFmtId="44" fontId="6" fillId="4" borderId="2" xfId="0" applyNumberFormat="1" applyFont="1" applyFill="1" applyBorder="1"/>
    <xf numFmtId="44" fontId="6" fillId="4" borderId="1" xfId="0" applyNumberFormat="1" applyFont="1" applyFill="1" applyBorder="1"/>
    <xf numFmtId="0" fontId="5" fillId="2" borderId="17" xfId="0" applyFont="1" applyFill="1" applyBorder="1" applyAlignment="1">
      <alignment horizontal="left" vertical="top" wrapText="1"/>
    </xf>
    <xf numFmtId="0" fontId="5" fillId="2" borderId="17" xfId="0" applyFont="1" applyFill="1" applyBorder="1" applyAlignment="1">
      <alignment vertical="top" wrapText="1"/>
    </xf>
    <xf numFmtId="0" fontId="5" fillId="0" borderId="0" xfId="0" applyFont="1" applyAlignment="1">
      <alignment vertical="center" wrapText="1"/>
    </xf>
    <xf numFmtId="0" fontId="6" fillId="2" borderId="0" xfId="0" applyFont="1" applyFill="1"/>
    <xf numFmtId="44" fontId="10" fillId="2" borderId="0" xfId="1" applyFont="1" applyFill="1"/>
    <xf numFmtId="0" fontId="10" fillId="2" borderId="0" xfId="0" applyFont="1" applyFill="1" applyAlignment="1">
      <alignment wrapText="1"/>
    </xf>
    <xf numFmtId="44" fontId="6" fillId="2" borderId="0" xfId="0" applyNumberFormat="1" applyFont="1" applyFill="1" applyAlignment="1">
      <alignment horizontal="center" vertical="center"/>
    </xf>
    <xf numFmtId="0" fontId="10" fillId="2" borderId="0" xfId="0" applyFont="1" applyFill="1" applyAlignment="1">
      <alignment horizontal="right" vertical="center" wrapText="1"/>
    </xf>
    <xf numFmtId="0" fontId="14" fillId="2" borderId="0" xfId="0" applyFont="1" applyFill="1"/>
    <xf numFmtId="44" fontId="4" fillId="2" borderId="0" xfId="1" applyFont="1" applyFill="1"/>
    <xf numFmtId="0" fontId="4" fillId="2" borderId="0" xfId="0" applyFont="1" applyFill="1" applyBorder="1"/>
    <xf numFmtId="0" fontId="5" fillId="2" borderId="0" xfId="0" applyFont="1" applyFill="1" applyBorder="1" applyAlignment="1">
      <alignment vertical="top" wrapText="1"/>
    </xf>
    <xf numFmtId="0" fontId="18" fillId="5" borderId="5" xfId="1" applyNumberFormat="1" applyFont="1" applyFill="1" applyBorder="1" applyAlignment="1">
      <alignment horizontal="right" vertical="top" wrapText="1"/>
    </xf>
    <xf numFmtId="44" fontId="18" fillId="5" borderId="5" xfId="1" applyFont="1" applyFill="1" applyBorder="1" applyAlignment="1">
      <alignment horizontal="right" vertical="top" wrapText="1"/>
    </xf>
    <xf numFmtId="165" fontId="18" fillId="5" borderId="5" xfId="0" applyNumberFormat="1" applyFont="1" applyFill="1" applyBorder="1" applyAlignment="1">
      <alignment horizontal="right" vertical="top" wrapText="1"/>
    </xf>
    <xf numFmtId="1" fontId="5" fillId="2" borderId="19" xfId="0" applyNumberFormat="1" applyFont="1" applyFill="1" applyBorder="1" applyAlignment="1">
      <alignment horizontal="right" vertical="top" shrinkToFit="1"/>
    </xf>
    <xf numFmtId="165" fontId="5" fillId="2" borderId="5" xfId="0" applyNumberFormat="1" applyFont="1" applyFill="1" applyBorder="1" applyAlignment="1">
      <alignment horizontal="right" vertical="top" shrinkToFit="1"/>
    </xf>
    <xf numFmtId="8" fontId="5" fillId="2" borderId="20" xfId="1" applyNumberFormat="1" applyFont="1" applyFill="1" applyBorder="1" applyAlignment="1">
      <alignment horizontal="right" vertical="top" shrinkToFit="1"/>
    </xf>
    <xf numFmtId="166" fontId="18" fillId="5" borderId="5" xfId="0" applyNumberFormat="1" applyFont="1" applyFill="1" applyBorder="1" applyAlignment="1">
      <alignment horizontal="right" vertical="top" wrapText="1"/>
    </xf>
    <xf numFmtId="165" fontId="5" fillId="2" borderId="21" xfId="2" applyNumberFormat="1" applyFont="1" applyFill="1" applyBorder="1" applyAlignment="1">
      <alignment horizontal="right" vertical="top" wrapText="1"/>
    </xf>
    <xf numFmtId="165" fontId="5" fillId="2" borderId="22" xfId="2" applyNumberFormat="1" applyFont="1" applyFill="1" applyBorder="1" applyAlignment="1">
      <alignment horizontal="right" vertical="top" wrapText="1"/>
    </xf>
    <xf numFmtId="0" fontId="15" fillId="3" borderId="0" xfId="0" applyFont="1" applyFill="1" applyAlignment="1">
      <alignment horizontal="center" vertical="center"/>
    </xf>
    <xf numFmtId="0" fontId="9" fillId="2" borderId="1" xfId="0" applyFont="1" applyFill="1" applyBorder="1" applyAlignment="1">
      <alignment horizontal="left" vertical="top" wrapText="1"/>
    </xf>
    <xf numFmtId="0" fontId="10" fillId="2" borderId="0" xfId="0" applyFont="1" applyFill="1" applyBorder="1"/>
    <xf numFmtId="0" fontId="5" fillId="2" borderId="0" xfId="0" applyFont="1" applyFill="1" applyAlignment="1">
      <alignment horizontal="center" vertical="center" wrapText="1"/>
    </xf>
    <xf numFmtId="0" fontId="5"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44" fontId="16" fillId="3" borderId="1" xfId="1" applyFont="1" applyFill="1" applyBorder="1" applyAlignment="1">
      <alignment horizontal="center" vertical="top" wrapText="1"/>
    </xf>
    <xf numFmtId="0" fontId="16" fillId="3" borderId="12" xfId="0" applyFont="1" applyFill="1" applyBorder="1" applyAlignment="1">
      <alignment horizontal="center" vertical="top" wrapText="1"/>
    </xf>
    <xf numFmtId="0" fontId="16" fillId="3" borderId="18" xfId="0" applyFont="1" applyFill="1" applyBorder="1" applyAlignment="1">
      <alignment horizontal="center" vertical="top" wrapText="1"/>
    </xf>
    <xf numFmtId="0" fontId="5" fillId="2" borderId="5" xfId="0" applyFont="1" applyFill="1" applyBorder="1" applyAlignment="1">
      <alignment horizontal="left" vertical="top" wrapText="1"/>
    </xf>
    <xf numFmtId="0" fontId="5" fillId="2" borderId="9" xfId="0" applyFont="1" applyFill="1" applyBorder="1" applyAlignment="1">
      <alignment horizontal="left" vertical="top" wrapText="1"/>
    </xf>
    <xf numFmtId="0" fontId="9" fillId="2" borderId="1" xfId="0" applyFont="1" applyFill="1" applyBorder="1" applyAlignment="1">
      <alignment vertical="top" wrapText="1" shrinkToFit="1"/>
    </xf>
    <xf numFmtId="0" fontId="10" fillId="2" borderId="1" xfId="0" applyFont="1" applyFill="1" applyBorder="1" applyAlignment="1">
      <alignment vertical="top" wrapText="1" shrinkToFit="1"/>
    </xf>
    <xf numFmtId="0" fontId="10" fillId="0" borderId="21" xfId="0" applyFont="1" applyBorder="1" applyAlignment="1">
      <alignment wrapText="1"/>
    </xf>
    <xf numFmtId="0" fontId="10" fillId="0" borderId="0" xfId="0" applyFont="1" applyBorder="1" applyAlignment="1">
      <alignment wrapText="1"/>
    </xf>
    <xf numFmtId="0" fontId="10" fillId="0" borderId="23" xfId="0" applyFont="1" applyBorder="1" applyAlignment="1">
      <alignment wrapText="1"/>
    </xf>
    <xf numFmtId="0" fontId="5" fillId="2" borderId="1" xfId="0" applyFont="1" applyFill="1" applyBorder="1" applyAlignment="1">
      <alignment horizontal="left" vertical="top" wrapText="1"/>
    </xf>
    <xf numFmtId="44" fontId="16" fillId="3" borderId="6" xfId="1" applyFont="1" applyFill="1" applyBorder="1" applyAlignment="1">
      <alignment horizontal="center" vertical="top" wrapText="1"/>
    </xf>
    <xf numFmtId="44" fontId="16" fillId="3" borderId="7" xfId="1" applyFont="1" applyFill="1" applyBorder="1" applyAlignment="1">
      <alignment horizontal="center" vertical="top" wrapText="1"/>
    </xf>
    <xf numFmtId="44" fontId="16" fillId="0" borderId="0" xfId="1" applyFont="1" applyFill="1" applyBorder="1" applyAlignment="1">
      <alignment horizontal="center" vertical="top" wrapText="1"/>
    </xf>
    <xf numFmtId="0" fontId="12" fillId="2" borderId="0" xfId="0" applyFont="1" applyFill="1" applyAlignment="1">
      <alignment horizontal="center"/>
    </xf>
    <xf numFmtId="0" fontId="10" fillId="2" borderId="0" xfId="0" applyFont="1" applyFill="1" applyAlignment="1">
      <alignment horizont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16" fillId="3" borderId="6" xfId="0" applyFont="1" applyFill="1" applyBorder="1" applyAlignment="1">
      <alignment horizontal="center"/>
    </xf>
    <xf numFmtId="0" fontId="16" fillId="3" borderId="10" xfId="0" applyFont="1" applyFill="1" applyBorder="1" applyAlignment="1">
      <alignment horizontal="center"/>
    </xf>
    <xf numFmtId="0" fontId="16" fillId="3" borderId="7" xfId="0" applyFont="1" applyFill="1" applyBorder="1" applyAlignment="1">
      <alignment horizontal="center"/>
    </xf>
    <xf numFmtId="0" fontId="16" fillId="3" borderId="15" xfId="0" applyFont="1" applyFill="1" applyBorder="1" applyAlignment="1">
      <alignment horizontal="center"/>
    </xf>
    <xf numFmtId="0" fontId="16" fillId="3" borderId="16" xfId="0" applyFont="1" applyFill="1" applyBorder="1" applyAlignment="1">
      <alignment horizontal="center"/>
    </xf>
    <xf numFmtId="0" fontId="21" fillId="2" borderId="8" xfId="0" applyFont="1" applyFill="1" applyBorder="1" applyAlignment="1">
      <alignment horizontal="left" vertical="center" wrapText="1"/>
    </xf>
  </cellXfs>
  <cellStyles count="3">
    <cellStyle name="Currency" xfId="1" builtinId="4"/>
    <cellStyle name="Normal" xfId="0" builtinId="0"/>
    <cellStyle name="Percent" xfId="2" builtinId="5"/>
  </cellStyles>
  <dxfs count="2">
    <dxf>
      <font>
        <color rgb="FFF8BD17"/>
      </font>
      <fill>
        <patternFill>
          <bgColor rgb="FF6E6B76"/>
        </patternFill>
      </fill>
    </dxf>
    <dxf>
      <font>
        <b val="0"/>
        <i/>
        <color rgb="FFC00000"/>
      </font>
    </dxf>
  </dxfs>
  <tableStyles count="0" defaultTableStyle="TableStyleMedium9" defaultPivotStyle="PivotStyleLight16"/>
  <colors>
    <mruColors>
      <color rgb="FF37323E"/>
      <color rgb="FFBFBDC1"/>
      <color rgb="FF6E6B76"/>
      <color rgb="FFF8BD17"/>
      <color rgb="FFF79433"/>
      <color rgb="FF48323E"/>
      <color rgb="FFBFBD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'Step 4 Break-even'!$D$6</c:f>
              <c:strCache>
                <c:ptCount val="1"/>
                <c:pt idx="0">
                  <c:v>Total accumulated return</c:v>
                </c:pt>
              </c:strCache>
            </c:strRef>
          </c:tx>
          <c:spPr>
            <a:ln w="28575" cap="rnd">
              <a:solidFill>
                <a:srgbClr val="F79433"/>
              </a:solidFill>
              <a:round/>
            </a:ln>
            <a:effectLst/>
          </c:spPr>
          <c:marker>
            <c:symbol val="circle"/>
            <c:size val="5"/>
            <c:spPr>
              <a:solidFill>
                <a:srgbClr val="F79433"/>
              </a:solidFill>
              <a:ln w="9525">
                <a:solidFill>
                  <a:srgbClr val="F79433"/>
                </a:solidFill>
              </a:ln>
              <a:effectLst/>
            </c:spPr>
          </c:marker>
          <c:cat>
            <c:numRef>
              <c:f>'Step 4 Break-even'!$B$7:$B$36</c:f>
              <c:numCache>
                <c:formatCode>General</c:formatCode>
                <c:ptCount val="30"/>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numCache>
            </c:numRef>
          </c:cat>
          <c:val>
            <c:numRef>
              <c:f>'Step 4 Break-even'!$D$7:$D$36</c:f>
              <c:numCache>
                <c:formatCode>_("$"* #,##0.00_);_("$"* \(#,##0.00\);_("$"* "-"??_);_(@_)</c:formatCode>
                <c:ptCount val="30"/>
                <c:pt idx="0">
                  <c:v>-50962.422885117412</c:v>
                </c:pt>
                <c:pt idx="1">
                  <c:v>-46570.445770234815</c:v>
                </c:pt>
                <c:pt idx="2">
                  <c:v>-41064.950015352224</c:v>
                </c:pt>
                <c:pt idx="3">
                  <c:v>-34403.691268285627</c:v>
                </c:pt>
                <c:pt idx="4">
                  <c:v>-26542.822353228825</c:v>
                </c:pt>
                <c:pt idx="5">
                  <c:v>4885.5904345547751</c:v>
                </c:pt>
                <c:pt idx="6">
                  <c:v>37606.361801666513</c:v>
                </c:pt>
                <c:pt idx="7">
                  <c:v>71668.521635907004</c:v>
                </c:pt>
                <c:pt idx="8">
                  <c:v>107122.96013176139</c:v>
                </c:pt>
                <c:pt idx="9">
                  <c:v>144022.49838199856</c:v>
                </c:pt>
                <c:pt idx="10">
                  <c:v>182421.96164822506</c:v>
                </c:pt>
                <c:pt idx="11">
                  <c:v>222378.25541207028</c:v>
                </c:pt>
                <c:pt idx="12">
                  <c:v>263950.44431253907</c:v>
                </c:pt>
                <c:pt idx="13">
                  <c:v>307199.83407907287</c:v>
                </c:pt>
                <c:pt idx="14">
                  <c:v>352190.05657402024</c:v>
                </c:pt>
                <c:pt idx="15">
                  <c:v>398987.15806253115</c:v>
                </c:pt>
                <c:pt idx="16">
                  <c:v>447659.69083237107</c:v>
                </c:pt>
                <c:pt idx="17">
                  <c:v>498278.8082907995</c:v>
                </c:pt>
                <c:pt idx="18">
                  <c:v>550918.3636704837</c:v>
                </c:pt>
                <c:pt idx="19">
                  <c:v>605655.01248142892</c:v>
                </c:pt>
                <c:pt idx="20">
                  <c:v>662568.31885110412</c:v>
                </c:pt>
                <c:pt idx="21">
                  <c:v>721750.6061934639</c:v>
                </c:pt>
                <c:pt idx="22">
                  <c:v>783288.32268356765</c:v>
                </c:pt>
                <c:pt idx="23">
                  <c:v>847271.21017194435</c:v>
                </c:pt>
                <c:pt idx="24">
                  <c:v>913792.42967362818</c:v>
                </c:pt>
                <c:pt idx="25">
                  <c:v>982948.69163832616</c:v>
                </c:pt>
                <c:pt idx="26">
                  <c:v>1054840.3911838792</c:v>
                </c:pt>
                <c:pt idx="27">
                  <c:v>1129571.7484821177</c:v>
                </c:pt>
                <c:pt idx="28">
                  <c:v>1207250.954493419</c:v>
                </c:pt>
                <c:pt idx="29">
                  <c:v>1287990.3222537511</c:v>
                </c:pt>
              </c:numCache>
            </c:numRef>
          </c:val>
          <c:smooth val="0"/>
          <c:extLst>
            <c:ext xmlns:c16="http://schemas.microsoft.com/office/drawing/2014/chart" uri="{C3380CC4-5D6E-409C-BE32-E72D297353CC}">
              <c16:uniqueId val="{00000000-832A-C34C-BA66-8DEA9D04049F}"/>
            </c:ext>
          </c:extLst>
        </c:ser>
        <c:ser>
          <c:idx val="0"/>
          <c:order val="1"/>
          <c:tx>
            <c:v>Investment</c:v>
          </c:tx>
          <c:spPr>
            <a:ln w="28575" cap="rnd">
              <a:solidFill>
                <a:srgbClr val="37323E"/>
              </a:solidFill>
              <a:round/>
            </a:ln>
            <a:effectLst/>
          </c:spPr>
          <c:marker>
            <c:symbol val="circle"/>
            <c:size val="5"/>
            <c:spPr>
              <a:solidFill>
                <a:srgbClr val="37323E"/>
              </a:solidFill>
              <a:ln w="9525">
                <a:solidFill>
                  <a:srgbClr val="37323E"/>
                </a:solidFill>
              </a:ln>
              <a:effectLst/>
            </c:spPr>
          </c:marker>
          <c:val>
            <c:numRef>
              <c:f>'Step 4 Break-even'!$E$7:$E$36</c:f>
              <c:numCache>
                <c:formatCode>_("$"* #,##0.00_);_("$"* \(#,##0.00\);_("$"* "-"??_);_(@_)</c:formatCode>
                <c:ptCount val="30"/>
                <c:pt idx="0">
                  <c:v>150000</c:v>
                </c:pt>
                <c:pt idx="1">
                  <c:v>150000</c:v>
                </c:pt>
                <c:pt idx="2">
                  <c:v>150000</c:v>
                </c:pt>
                <c:pt idx="3">
                  <c:v>150000</c:v>
                </c:pt>
                <c:pt idx="4">
                  <c:v>150000</c:v>
                </c:pt>
                <c:pt idx="5">
                  <c:v>150000</c:v>
                </c:pt>
                <c:pt idx="6">
                  <c:v>150000</c:v>
                </c:pt>
                <c:pt idx="7">
                  <c:v>150000</c:v>
                </c:pt>
                <c:pt idx="8">
                  <c:v>150000</c:v>
                </c:pt>
                <c:pt idx="9">
                  <c:v>150000</c:v>
                </c:pt>
                <c:pt idx="10">
                  <c:v>150000</c:v>
                </c:pt>
                <c:pt idx="11">
                  <c:v>150000</c:v>
                </c:pt>
                <c:pt idx="12">
                  <c:v>150000</c:v>
                </c:pt>
                <c:pt idx="13">
                  <c:v>150000</c:v>
                </c:pt>
                <c:pt idx="14">
                  <c:v>150000</c:v>
                </c:pt>
                <c:pt idx="15">
                  <c:v>150000</c:v>
                </c:pt>
                <c:pt idx="16">
                  <c:v>150000</c:v>
                </c:pt>
                <c:pt idx="17">
                  <c:v>150000</c:v>
                </c:pt>
                <c:pt idx="18">
                  <c:v>150000</c:v>
                </c:pt>
                <c:pt idx="19">
                  <c:v>150000</c:v>
                </c:pt>
                <c:pt idx="20">
                  <c:v>150000</c:v>
                </c:pt>
                <c:pt idx="21">
                  <c:v>150000</c:v>
                </c:pt>
                <c:pt idx="22">
                  <c:v>150000</c:v>
                </c:pt>
                <c:pt idx="23">
                  <c:v>150000</c:v>
                </c:pt>
                <c:pt idx="24">
                  <c:v>150000</c:v>
                </c:pt>
                <c:pt idx="25">
                  <c:v>150000</c:v>
                </c:pt>
                <c:pt idx="26">
                  <c:v>150000</c:v>
                </c:pt>
                <c:pt idx="27">
                  <c:v>150000</c:v>
                </c:pt>
                <c:pt idx="28">
                  <c:v>150000</c:v>
                </c:pt>
                <c:pt idx="29">
                  <c:v>150000</c:v>
                </c:pt>
              </c:numCache>
            </c:numRef>
          </c:val>
          <c:smooth val="0"/>
          <c:extLst>
            <c:ext xmlns:c16="http://schemas.microsoft.com/office/drawing/2014/chart" uri="{C3380CC4-5D6E-409C-BE32-E72D297353CC}">
              <c16:uniqueId val="{00000001-832A-C34C-BA66-8DEA9D04049F}"/>
            </c:ext>
          </c:extLst>
        </c:ser>
        <c:dLbls>
          <c:showLegendKey val="0"/>
          <c:showVal val="0"/>
          <c:showCatName val="0"/>
          <c:showSerName val="0"/>
          <c:showPercent val="0"/>
          <c:showBubbleSize val="0"/>
        </c:dLbls>
        <c:marker val="1"/>
        <c:smooth val="0"/>
        <c:axId val="582854048"/>
        <c:axId val="582853264"/>
      </c:lineChart>
      <c:catAx>
        <c:axId val="58285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853264"/>
        <c:crosses val="autoZero"/>
        <c:auto val="1"/>
        <c:lblAlgn val="ctr"/>
        <c:lblOffset val="100"/>
        <c:noMultiLvlLbl val="0"/>
      </c:catAx>
      <c:valAx>
        <c:axId val="58285326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854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Benefits Vs.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0"/>
          <c:tx>
            <c:strRef>
              <c:f>'Step 3 - Benefit Cost Analysis'!$C$7</c:f>
              <c:strCache>
                <c:ptCount val="1"/>
                <c:pt idx="0">
                  <c:v>Rent Income</c:v>
                </c:pt>
              </c:strCache>
            </c:strRef>
          </c:tx>
          <c:spPr>
            <a:solidFill>
              <a:srgbClr val="37323E"/>
            </a:solidFill>
            <a:ln>
              <a:solidFill>
                <a:srgbClr val="37323E"/>
              </a:solidFill>
            </a:ln>
            <a:effectLst/>
          </c:spPr>
          <c:invertIfNegative val="0"/>
          <c:cat>
            <c:numRef>
              <c:f>('Step 3 - Benefit Cost Analysis'!$A$8:$A$17,'Step 3 - Benefit Cost Analysis'!$A$20:$A$29,'Step 3 - Benefit Cost Analysis'!$A$32:$A$41)</c:f>
              <c:numCache>
                <c:formatCode>General</c:formatCode>
                <c:ptCount val="30"/>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numCache>
            </c:numRef>
          </c:cat>
          <c:val>
            <c:numRef>
              <c:f>('Step 3 - Benefit Cost Analysis'!$C$8:$C$17,'Step 3 - Benefit Cost Analysis'!$C$20:$C$29,'Step 3 - Benefit Cost Analysis'!$C$32:$C$41)</c:f>
              <c:numCache>
                <c:formatCode>_("$"* #,##0.00_);_("$"* \(#,##0.00\);_("$"* "-"??_);_(@_)</c:formatCode>
                <c:ptCount val="30"/>
                <c:pt idx="0">
                  <c:v>24000</c:v>
                </c:pt>
                <c:pt idx="1">
                  <c:v>24914.400000000001</c:v>
                </c:pt>
                <c:pt idx="2">
                  <c:v>25863.638640000001</c:v>
                </c:pt>
                <c:pt idx="3">
                  <c:v>26849.043272184001</c:v>
                </c:pt>
                <c:pt idx="4">
                  <c:v>27871.991820854211</c:v>
                </c:pt>
                <c:pt idx="5">
                  <c:v>28933.914709228757</c:v>
                </c:pt>
                <c:pt idx="6">
                  <c:v>30036.296859650371</c:v>
                </c:pt>
                <c:pt idx="7">
                  <c:v>31180.679770003051</c:v>
                </c:pt>
                <c:pt idx="8">
                  <c:v>32368.663669240166</c:v>
                </c:pt>
                <c:pt idx="9">
                  <c:v>33601.909755038214</c:v>
                </c:pt>
                <c:pt idx="10">
                  <c:v>34882.142516705171</c:v>
                </c:pt>
                <c:pt idx="11">
                  <c:v>36211.152146591638</c:v>
                </c:pt>
                <c:pt idx="12">
                  <c:v>37590.797043376777</c:v>
                </c:pt>
                <c:pt idx="13">
                  <c:v>39023.006410729431</c:v>
                </c:pt>
                <c:pt idx="14">
                  <c:v>40509.782954978225</c:v>
                </c:pt>
                <c:pt idx="15">
                  <c:v>42053.205685562898</c:v>
                </c:pt>
                <c:pt idx="16">
                  <c:v>43655.432822182847</c:v>
                </c:pt>
                <c:pt idx="17">
                  <c:v>45318.704812708012</c:v>
                </c:pt>
                <c:pt idx="18">
                  <c:v>47045.347466072191</c:v>
                </c:pt>
                <c:pt idx="19">
                  <c:v>48837.775204529542</c:v>
                </c:pt>
                <c:pt idx="20">
                  <c:v>50698.49443982212</c:v>
                </c:pt>
                <c:pt idx="21">
                  <c:v>52630.107077979344</c:v>
                </c:pt>
                <c:pt idx="22">
                  <c:v>54635.314157650355</c:v>
                </c:pt>
                <c:pt idx="23">
                  <c:v>56716.919627056835</c:v>
                </c:pt>
                <c:pt idx="24">
                  <c:v>58877.834264847697</c:v>
                </c:pt>
                <c:pt idx="25">
                  <c:v>61121.079750338395</c:v>
                </c:pt>
                <c:pt idx="26">
                  <c:v>63449.79288882629</c:v>
                </c:pt>
                <c:pt idx="27">
                  <c:v>65867.229997890565</c:v>
                </c:pt>
                <c:pt idx="28">
                  <c:v>68376.771460810196</c:v>
                </c:pt>
                <c:pt idx="29">
                  <c:v>70981.926453467066</c:v>
                </c:pt>
              </c:numCache>
            </c:numRef>
          </c:val>
          <c:extLst>
            <c:ext xmlns:c16="http://schemas.microsoft.com/office/drawing/2014/chart" uri="{C3380CC4-5D6E-409C-BE32-E72D297353CC}">
              <c16:uniqueId val="{00000000-71A5-D143-9187-E39B08AC4970}"/>
            </c:ext>
          </c:extLst>
        </c:ser>
        <c:ser>
          <c:idx val="3"/>
          <c:order val="1"/>
          <c:tx>
            <c:strRef>
              <c:f>'Step 3 - Benefit Cost Analysis'!$D$7</c:f>
              <c:strCache>
                <c:ptCount val="1"/>
                <c:pt idx="0">
                  <c:v>Estimated ADU value</c:v>
                </c:pt>
              </c:strCache>
            </c:strRef>
          </c:tx>
          <c:spPr>
            <a:solidFill>
              <a:srgbClr val="6E6B76"/>
            </a:solidFill>
            <a:ln>
              <a:solidFill>
                <a:srgbClr val="6E6B76"/>
              </a:solidFill>
            </a:ln>
            <a:effectLst/>
          </c:spPr>
          <c:invertIfNegative val="0"/>
          <c:cat>
            <c:numRef>
              <c:f>('Step 3 - Benefit Cost Analysis'!$A$8:$A$17,'Step 3 - Benefit Cost Analysis'!$A$20:$A$29,'Step 3 - Benefit Cost Analysis'!$A$32:$A$41)</c:f>
              <c:numCache>
                <c:formatCode>General</c:formatCode>
                <c:ptCount val="30"/>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numCache>
            </c:numRef>
          </c:cat>
          <c:val>
            <c:numRef>
              <c:f>('Step 3 - Benefit Cost Analysis'!$D$8:$D$17,'Step 3 - Benefit Cost Analysis'!$D$20:$D$29,'Step 3 - Benefit Cost Analysis'!$D$32:$D$41)</c:f>
              <c:numCache>
                <c:formatCode>_("$"* #,##0.00_);_("$"* \(#,##0.00\);_("$"* "-"??_);_(@_)</c:formatCode>
                <c:ptCount val="30"/>
                <c:pt idx="0">
                  <c:v>120000</c:v>
                </c:pt>
                <c:pt idx="1">
                  <c:v>124440</c:v>
                </c:pt>
                <c:pt idx="2">
                  <c:v>129044.28</c:v>
                </c:pt>
                <c:pt idx="3">
                  <c:v>133818.91836000001</c:v>
                </c:pt>
                <c:pt idx="4">
                  <c:v>138770.21833932001</c:v>
                </c:pt>
                <c:pt idx="5">
                  <c:v>143904.71641787485</c:v>
                </c:pt>
                <c:pt idx="6">
                  <c:v>149229.19092533621</c:v>
                </c:pt>
                <c:pt idx="7">
                  <c:v>154750.67098957364</c:v>
                </c:pt>
                <c:pt idx="8">
                  <c:v>160476.44581618786</c:v>
                </c:pt>
                <c:pt idx="9">
                  <c:v>166414.07431138679</c:v>
                </c:pt>
                <c:pt idx="10">
                  <c:v>172571.39506090811</c:v>
                </c:pt>
                <c:pt idx="11">
                  <c:v>178956.5366781617</c:v>
                </c:pt>
                <c:pt idx="12">
                  <c:v>185577.92853525368</c:v>
                </c:pt>
                <c:pt idx="13">
                  <c:v>192444.31189105808</c:v>
                </c:pt>
                <c:pt idx="14">
                  <c:v>199564.75143102722</c:v>
                </c:pt>
                <c:pt idx="15">
                  <c:v>206948.64723397524</c:v>
                </c:pt>
                <c:pt idx="16">
                  <c:v>214605.74718163232</c:v>
                </c:pt>
                <c:pt idx="17">
                  <c:v>222546.15982735271</c:v>
                </c:pt>
                <c:pt idx="18">
                  <c:v>230780.36774096475</c:v>
                </c:pt>
                <c:pt idx="19">
                  <c:v>239319.24134738045</c:v>
                </c:pt>
                <c:pt idx="20">
                  <c:v>248174.05327723353</c:v>
                </c:pt>
                <c:pt idx="21">
                  <c:v>257366.233541614</c:v>
                </c:pt>
                <c:pt idx="22">
                  <c:v>266908.63587406737</c:v>
                </c:pt>
                <c:pt idx="23">
                  <c:v>276814.60373538721</c:v>
                </c:pt>
                <c:pt idx="24">
                  <c:v>287097.98897222336</c:v>
                </c:pt>
                <c:pt idx="25">
                  <c:v>297773.17118658294</c:v>
                </c:pt>
                <c:pt idx="26">
                  <c:v>308855.07784330961</c:v>
                </c:pt>
                <c:pt idx="27">
                  <c:v>320359.20514365757</c:v>
                </c:pt>
                <c:pt idx="28">
                  <c:v>332301.63969414879</c:v>
                </c:pt>
                <c:pt idx="29">
                  <c:v>344699.08100101375</c:v>
                </c:pt>
              </c:numCache>
            </c:numRef>
          </c:val>
          <c:extLst>
            <c:ext xmlns:c16="http://schemas.microsoft.com/office/drawing/2014/chart" uri="{C3380CC4-5D6E-409C-BE32-E72D297353CC}">
              <c16:uniqueId val="{00000001-71A5-D143-9187-E39B08AC4970}"/>
            </c:ext>
          </c:extLst>
        </c:ser>
        <c:ser>
          <c:idx val="4"/>
          <c:order val="2"/>
          <c:tx>
            <c:strRef>
              <c:f>'Step 3 - Benefit Cost Analysis'!$E$7</c:f>
              <c:strCache>
                <c:ptCount val="1"/>
                <c:pt idx="0">
                  <c:v>Appreciation on ADU structure</c:v>
                </c:pt>
              </c:strCache>
            </c:strRef>
          </c:tx>
          <c:spPr>
            <a:solidFill>
              <a:srgbClr val="F8BD17"/>
            </a:solidFill>
            <a:ln>
              <a:solidFill>
                <a:srgbClr val="F8BD17"/>
              </a:solidFill>
            </a:ln>
            <a:effectLst/>
          </c:spPr>
          <c:invertIfNegative val="0"/>
          <c:cat>
            <c:numRef>
              <c:f>('Step 3 - Benefit Cost Analysis'!$A$8:$A$17,'Step 3 - Benefit Cost Analysis'!$A$20:$A$29,'Step 3 - Benefit Cost Analysis'!$A$32:$A$41)</c:f>
              <c:numCache>
                <c:formatCode>General</c:formatCode>
                <c:ptCount val="30"/>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numCache>
            </c:numRef>
          </c:cat>
          <c:val>
            <c:numRef>
              <c:f>('Step 3 - Benefit Cost Analysis'!$E$8:$E$17,'Step 3 - Benefit Cost Analysis'!$E$20:$E$29,'Step 3 - Benefit Cost Analysis'!$E$32:$E$41)</c:f>
              <c:numCache>
                <c:formatCode>_("$"* #,##0.00_);_("$"* \(#,##0.00\);_("$"* "-"??_);_(@_)</c:formatCode>
                <c:ptCount val="30"/>
                <c:pt idx="0">
                  <c:v>0</c:v>
                </c:pt>
                <c:pt idx="1">
                  <c:v>4440</c:v>
                </c:pt>
                <c:pt idx="2">
                  <c:v>4604.28</c:v>
                </c:pt>
                <c:pt idx="3">
                  <c:v>4774.6383599999999</c:v>
                </c:pt>
                <c:pt idx="4">
                  <c:v>4951.2999793199997</c:v>
                </c:pt>
                <c:pt idx="5">
                  <c:v>5134.4980785548396</c:v>
                </c:pt>
                <c:pt idx="6">
                  <c:v>5324.4745074613684</c:v>
                </c:pt>
                <c:pt idx="7">
                  <c:v>5521.4800642374394</c:v>
                </c:pt>
                <c:pt idx="8">
                  <c:v>5725.7748266142244</c:v>
                </c:pt>
                <c:pt idx="9">
                  <c:v>5937.628495198951</c:v>
                </c:pt>
                <c:pt idx="10">
                  <c:v>6157.3207495213119</c:v>
                </c:pt>
                <c:pt idx="11">
                  <c:v>6385.1416172536001</c:v>
                </c:pt>
                <c:pt idx="12">
                  <c:v>6621.3918570919832</c:v>
                </c:pt>
                <c:pt idx="13">
                  <c:v>6866.3833558043862</c:v>
                </c:pt>
                <c:pt idx="14">
                  <c:v>7120.4395399691484</c:v>
                </c:pt>
                <c:pt idx="15">
                  <c:v>7383.8958029480073</c:v>
                </c:pt>
                <c:pt idx="16">
                  <c:v>7657.0999476570832</c:v>
                </c:pt>
                <c:pt idx="17">
                  <c:v>7940.4126457203956</c:v>
                </c:pt>
                <c:pt idx="18">
                  <c:v>8234.2079136120501</c:v>
                </c:pt>
                <c:pt idx="19">
                  <c:v>8538.8736064156965</c:v>
                </c:pt>
                <c:pt idx="20">
                  <c:v>8854.8119298530764</c:v>
                </c:pt>
                <c:pt idx="21">
                  <c:v>9192.1802643804785</c:v>
                </c:pt>
                <c:pt idx="22">
                  <c:v>9542.4023324533755</c:v>
                </c:pt>
                <c:pt idx="23">
                  <c:v>9905.9678613198485</c:v>
                </c:pt>
                <c:pt idx="24">
                  <c:v>10283.385236836135</c:v>
                </c:pt>
                <c:pt idx="25">
                  <c:v>10675.182214359591</c:v>
                </c:pt>
                <c:pt idx="26">
                  <c:v>11081.906656726691</c:v>
                </c:pt>
                <c:pt idx="27">
                  <c:v>11504.127300347978</c:v>
                </c:pt>
                <c:pt idx="28">
                  <c:v>11942.434550491236</c:v>
                </c:pt>
                <c:pt idx="29">
                  <c:v>12397.441306864952</c:v>
                </c:pt>
              </c:numCache>
            </c:numRef>
          </c:val>
          <c:extLst>
            <c:ext xmlns:c16="http://schemas.microsoft.com/office/drawing/2014/chart" uri="{C3380CC4-5D6E-409C-BE32-E72D297353CC}">
              <c16:uniqueId val="{00000002-71A5-D143-9187-E39B08AC4970}"/>
            </c:ext>
          </c:extLst>
        </c:ser>
        <c:dLbls>
          <c:showLegendKey val="0"/>
          <c:showVal val="0"/>
          <c:showCatName val="0"/>
          <c:showSerName val="0"/>
          <c:showPercent val="0"/>
          <c:showBubbleSize val="0"/>
        </c:dLbls>
        <c:gapWidth val="150"/>
        <c:overlap val="100"/>
        <c:axId val="582853656"/>
        <c:axId val="582854832"/>
      </c:barChart>
      <c:lineChart>
        <c:grouping val="standard"/>
        <c:varyColors val="0"/>
        <c:ser>
          <c:idx val="0"/>
          <c:order val="3"/>
          <c:tx>
            <c:v>Costs</c:v>
          </c:tx>
          <c:spPr>
            <a:ln w="28575" cap="rnd">
              <a:solidFill>
                <a:srgbClr val="F79433"/>
              </a:solidFill>
              <a:round/>
            </a:ln>
            <a:effectLst/>
          </c:spPr>
          <c:marker>
            <c:symbol val="none"/>
          </c:marker>
          <c:val>
            <c:numRef>
              <c:f>('Step 3 - Benefit Cost Analysis'!$N$8:$N$17,'Step 3 - Benefit Cost Analysis'!$N$20:$N$29,'Step 3 - Benefit Cost Analysis'!$N$32:$N$41)</c:f>
              <c:numCache>
                <c:formatCode>_("$"* #,##0.00_);_("$"* \(#,##0.00\);_("$"* "-"??_);_(@_)</c:formatCode>
                <c:ptCount val="30"/>
                <c:pt idx="0">
                  <c:v>74962.422885117412</c:v>
                </c:pt>
                <c:pt idx="1">
                  <c:v>24962.422885117405</c:v>
                </c:pt>
                <c:pt idx="2">
                  <c:v>24962.422885117405</c:v>
                </c:pt>
                <c:pt idx="3">
                  <c:v>24962.422885117405</c:v>
                </c:pt>
                <c:pt idx="4">
                  <c:v>24962.422885117405</c:v>
                </c:pt>
                <c:pt idx="5">
                  <c:v>2640</c:v>
                </c:pt>
                <c:pt idx="6">
                  <c:v>2640</c:v>
                </c:pt>
                <c:pt idx="7">
                  <c:v>2640</c:v>
                </c:pt>
                <c:pt idx="8">
                  <c:v>2640</c:v>
                </c:pt>
                <c:pt idx="9">
                  <c:v>2640</c:v>
                </c:pt>
                <c:pt idx="10">
                  <c:v>2640</c:v>
                </c:pt>
                <c:pt idx="11">
                  <c:v>2640</c:v>
                </c:pt>
                <c:pt idx="12">
                  <c:v>2640</c:v>
                </c:pt>
                <c:pt idx="13">
                  <c:v>2640</c:v>
                </c:pt>
                <c:pt idx="14">
                  <c:v>2640</c:v>
                </c:pt>
                <c:pt idx="15">
                  <c:v>2640</c:v>
                </c:pt>
                <c:pt idx="16">
                  <c:v>2640</c:v>
                </c:pt>
                <c:pt idx="17">
                  <c:v>2640</c:v>
                </c:pt>
                <c:pt idx="18">
                  <c:v>2640</c:v>
                </c:pt>
                <c:pt idx="19">
                  <c:v>2640</c:v>
                </c:pt>
                <c:pt idx="20">
                  <c:v>2640</c:v>
                </c:pt>
                <c:pt idx="21">
                  <c:v>2640</c:v>
                </c:pt>
                <c:pt idx="22">
                  <c:v>2640</c:v>
                </c:pt>
                <c:pt idx="23">
                  <c:v>2640</c:v>
                </c:pt>
                <c:pt idx="24">
                  <c:v>2640</c:v>
                </c:pt>
                <c:pt idx="25">
                  <c:v>2640</c:v>
                </c:pt>
                <c:pt idx="26">
                  <c:v>2640</c:v>
                </c:pt>
                <c:pt idx="27">
                  <c:v>2640</c:v>
                </c:pt>
                <c:pt idx="28">
                  <c:v>2640</c:v>
                </c:pt>
                <c:pt idx="29">
                  <c:v>2640</c:v>
                </c:pt>
              </c:numCache>
            </c:numRef>
          </c:val>
          <c:smooth val="0"/>
          <c:extLst>
            <c:ext xmlns:c16="http://schemas.microsoft.com/office/drawing/2014/chart" uri="{C3380CC4-5D6E-409C-BE32-E72D297353CC}">
              <c16:uniqueId val="{00000003-71A5-D143-9187-E39B08AC4970}"/>
            </c:ext>
          </c:extLst>
        </c:ser>
        <c:dLbls>
          <c:showLegendKey val="0"/>
          <c:showVal val="0"/>
          <c:showCatName val="0"/>
          <c:showSerName val="0"/>
          <c:showPercent val="0"/>
          <c:showBubbleSize val="0"/>
        </c:dLbls>
        <c:marker val="1"/>
        <c:smooth val="0"/>
        <c:axId val="582853656"/>
        <c:axId val="582854832"/>
      </c:lineChart>
      <c:catAx>
        <c:axId val="582853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854832"/>
        <c:crosses val="autoZero"/>
        <c:auto val="1"/>
        <c:lblAlgn val="ctr"/>
        <c:lblOffset val="100"/>
        <c:noMultiLvlLbl val="0"/>
      </c:catAx>
      <c:valAx>
        <c:axId val="5828548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853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Income</c:v>
          </c:tx>
          <c:spPr>
            <a:solidFill>
              <a:srgbClr val="6E6B76"/>
            </a:solidFill>
            <a:ln>
              <a:solidFill>
                <a:srgbClr val="6E6B76"/>
              </a:solidFill>
            </a:ln>
            <a:effectLst/>
          </c:spPr>
          <c:invertIfNegative val="0"/>
          <c:cat>
            <c:strRef>
              <c:f>('Step 2 - Results'!$A$46:$B$46,'Step 2 - Results'!$D$46:$E$46,'Step 2 - Results'!$G$46:$H$46)</c:f>
              <c:strCache>
                <c:ptCount val="5"/>
                <c:pt idx="0">
                  <c:v>First Decade</c:v>
                </c:pt>
                <c:pt idx="2">
                  <c:v>Second Decade</c:v>
                </c:pt>
                <c:pt idx="4">
                  <c:v>Third Decade</c:v>
                </c:pt>
              </c:strCache>
            </c:strRef>
          </c:cat>
          <c:val>
            <c:numRef>
              <c:f>('Step 2 - Results'!$B$47,'Step 2 - Results'!$E$47,'Step 2 - Results'!$H$47)</c:f>
              <c:numCache>
                <c:formatCode>_("$"* #,##0.00_);_("$"* \(#,##0.00\);_("$"* "-"??_);_(@_)</c:formatCode>
                <c:ptCount val="3"/>
                <c:pt idx="0">
                  <c:v>332034.61280758557</c:v>
                </c:pt>
                <c:pt idx="1">
                  <c:v>488032.51409943041</c:v>
                </c:pt>
                <c:pt idx="2">
                  <c:v>1528802.4366793381</c:v>
                </c:pt>
              </c:numCache>
            </c:numRef>
          </c:val>
          <c:extLst>
            <c:ext xmlns:c16="http://schemas.microsoft.com/office/drawing/2014/chart" uri="{C3380CC4-5D6E-409C-BE32-E72D297353CC}">
              <c16:uniqueId val="{00000000-D715-CB43-9C9B-0169338FC215}"/>
            </c:ext>
          </c:extLst>
        </c:ser>
        <c:ser>
          <c:idx val="1"/>
          <c:order val="1"/>
          <c:tx>
            <c:v>Costs</c:v>
          </c:tx>
          <c:spPr>
            <a:solidFill>
              <a:srgbClr val="48323E"/>
            </a:solidFill>
            <a:ln>
              <a:solidFill>
                <a:srgbClr val="37323E"/>
              </a:solidFill>
            </a:ln>
            <a:effectLst/>
          </c:spPr>
          <c:invertIfNegative val="0"/>
          <c:dPt>
            <c:idx val="0"/>
            <c:invertIfNegative val="0"/>
            <c:bubble3D val="0"/>
            <c:spPr>
              <a:solidFill>
                <a:srgbClr val="37323E"/>
              </a:solidFill>
              <a:ln>
                <a:solidFill>
                  <a:srgbClr val="37323E"/>
                </a:solidFill>
              </a:ln>
              <a:effectLst/>
            </c:spPr>
            <c:extLst>
              <c:ext xmlns:c16="http://schemas.microsoft.com/office/drawing/2014/chart" uri="{C3380CC4-5D6E-409C-BE32-E72D297353CC}">
                <c16:uniqueId val="{00000002-D715-CB43-9C9B-0169338FC215}"/>
              </c:ext>
            </c:extLst>
          </c:dPt>
          <c:dPt>
            <c:idx val="1"/>
            <c:invertIfNegative val="0"/>
            <c:bubble3D val="0"/>
            <c:spPr>
              <a:solidFill>
                <a:srgbClr val="37323E"/>
              </a:solidFill>
              <a:ln>
                <a:solidFill>
                  <a:srgbClr val="37323E"/>
                </a:solidFill>
              </a:ln>
              <a:effectLst/>
            </c:spPr>
            <c:extLst>
              <c:ext xmlns:c16="http://schemas.microsoft.com/office/drawing/2014/chart" uri="{C3380CC4-5D6E-409C-BE32-E72D297353CC}">
                <c16:uniqueId val="{00000004-D715-CB43-9C9B-0169338FC215}"/>
              </c:ext>
            </c:extLst>
          </c:dPt>
          <c:dPt>
            <c:idx val="2"/>
            <c:invertIfNegative val="0"/>
            <c:bubble3D val="0"/>
            <c:spPr>
              <a:solidFill>
                <a:srgbClr val="37323E"/>
              </a:solidFill>
              <a:ln>
                <a:solidFill>
                  <a:srgbClr val="37323E"/>
                </a:solidFill>
              </a:ln>
              <a:effectLst/>
            </c:spPr>
            <c:extLst>
              <c:ext xmlns:c16="http://schemas.microsoft.com/office/drawing/2014/chart" uri="{C3380CC4-5D6E-409C-BE32-E72D297353CC}">
                <c16:uniqueId val="{00000006-D715-CB43-9C9B-0169338FC215}"/>
              </c:ext>
            </c:extLst>
          </c:dPt>
          <c:cat>
            <c:strRef>
              <c:f>('Step 2 - Results'!$A$46:$B$46,'Step 2 - Results'!$D$46:$E$46,'Step 2 - Results'!$G$46:$H$46)</c:f>
              <c:strCache>
                <c:ptCount val="5"/>
                <c:pt idx="0">
                  <c:v>First Decade</c:v>
                </c:pt>
                <c:pt idx="2">
                  <c:v>Second Decade</c:v>
                </c:pt>
                <c:pt idx="4">
                  <c:v>Third Decade</c:v>
                </c:pt>
              </c:strCache>
            </c:strRef>
          </c:cat>
          <c:val>
            <c:numRef>
              <c:f>('Step 2 - Results'!$B$48,'Step 2 - Results'!$E$48,'Step 2 - Results'!$H$48)</c:f>
              <c:numCache>
                <c:formatCode>_("$"* #,##0.00_);_("$"* \(#,##0.00\);_("$"* "-"??_);_(@_)</c:formatCode>
                <c:ptCount val="3"/>
                <c:pt idx="0">
                  <c:v>-188012.11442558706</c:v>
                </c:pt>
                <c:pt idx="1">
                  <c:v>-26400</c:v>
                </c:pt>
                <c:pt idx="2">
                  <c:v>-240812.11442558706</c:v>
                </c:pt>
              </c:numCache>
            </c:numRef>
          </c:val>
          <c:extLst>
            <c:ext xmlns:c16="http://schemas.microsoft.com/office/drawing/2014/chart" uri="{C3380CC4-5D6E-409C-BE32-E72D297353CC}">
              <c16:uniqueId val="{00000007-D715-CB43-9C9B-0169338FC215}"/>
            </c:ext>
          </c:extLst>
        </c:ser>
        <c:dLbls>
          <c:showLegendKey val="0"/>
          <c:showVal val="0"/>
          <c:showCatName val="0"/>
          <c:showSerName val="0"/>
          <c:showPercent val="0"/>
          <c:showBubbleSize val="0"/>
        </c:dLbls>
        <c:gapWidth val="75"/>
        <c:overlap val="100"/>
        <c:axId val="582855224"/>
        <c:axId val="582851696"/>
      </c:barChart>
      <c:lineChart>
        <c:grouping val="standard"/>
        <c:varyColors val="0"/>
        <c:ser>
          <c:idx val="2"/>
          <c:order val="2"/>
          <c:tx>
            <c:strRef>
              <c:f>'Step 2 - Results'!$A$49</c:f>
              <c:strCache>
                <c:ptCount val="1"/>
                <c:pt idx="0">
                  <c:v>Net Benefit</c:v>
                </c:pt>
              </c:strCache>
            </c:strRef>
          </c:tx>
          <c:spPr>
            <a:ln w="28575" cap="rnd">
              <a:solidFill>
                <a:srgbClr val="F79433"/>
              </a:solidFill>
              <a:round/>
            </a:ln>
            <a:effectLst/>
          </c:spPr>
          <c:marker>
            <c:symbol val="none"/>
          </c:marker>
          <c:val>
            <c:numRef>
              <c:f>('Step 2 - Results'!$B$49,'Step 2 - Results'!$E$49,'Step 2 - Results'!$H$49)</c:f>
              <c:numCache>
                <c:formatCode>"$"#,##0.00</c:formatCode>
                <c:ptCount val="3"/>
                <c:pt idx="0">
                  <c:v>144022.49838199851</c:v>
                </c:pt>
                <c:pt idx="1">
                  <c:v>461632.51409943041</c:v>
                </c:pt>
                <c:pt idx="2">
                  <c:v>1287990.3222537511</c:v>
                </c:pt>
              </c:numCache>
            </c:numRef>
          </c:val>
          <c:smooth val="0"/>
          <c:extLst>
            <c:ext xmlns:c16="http://schemas.microsoft.com/office/drawing/2014/chart" uri="{C3380CC4-5D6E-409C-BE32-E72D297353CC}">
              <c16:uniqueId val="{00000008-D715-CB43-9C9B-0169338FC215}"/>
            </c:ext>
          </c:extLst>
        </c:ser>
        <c:dLbls>
          <c:showLegendKey val="0"/>
          <c:showVal val="0"/>
          <c:showCatName val="0"/>
          <c:showSerName val="0"/>
          <c:showPercent val="0"/>
          <c:showBubbleSize val="0"/>
        </c:dLbls>
        <c:marker val="1"/>
        <c:smooth val="0"/>
        <c:axId val="582855224"/>
        <c:axId val="582851696"/>
      </c:lineChart>
      <c:catAx>
        <c:axId val="58285522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Decades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582851696"/>
        <c:crosses val="autoZero"/>
        <c:auto val="1"/>
        <c:lblAlgn val="ctr"/>
        <c:lblOffset val="100"/>
        <c:noMultiLvlLbl val="0"/>
      </c:catAx>
      <c:valAx>
        <c:axId val="58285169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00_);_(&quot;$&quot;* \(#,##0.0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28552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0</xdr:rowOff>
    </xdr:from>
    <xdr:to>
      <xdr:col>1</xdr:col>
      <xdr:colOff>3124200</xdr:colOff>
      <xdr:row>1</xdr:row>
      <xdr:rowOff>176701</xdr:rowOff>
    </xdr:to>
    <xdr:pic>
      <xdr:nvPicPr>
        <xdr:cNvPr id="4" name="Picture 3">
          <a:extLst>
            <a:ext uri="{FF2B5EF4-FFF2-40B4-BE49-F238E27FC236}">
              <a16:creationId xmlns:a16="http://schemas.microsoft.com/office/drawing/2014/main" id="{8C4EB844-7D80-A446-BB66-10C7C3BB0DB1}"/>
            </a:ext>
          </a:extLst>
        </xdr:cNvPr>
        <xdr:cNvPicPr>
          <a:picLocks noChangeAspect="1"/>
        </xdr:cNvPicPr>
      </xdr:nvPicPr>
      <xdr:blipFill>
        <a:blip xmlns:r="http://schemas.openxmlformats.org/officeDocument/2006/relationships" r:embed="rId1"/>
        <a:stretch>
          <a:fillRect/>
        </a:stretch>
      </xdr:blipFill>
      <xdr:spPr>
        <a:xfrm>
          <a:off x="152400" y="0"/>
          <a:ext cx="3060700" cy="13832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590550</xdr:colOff>
      <xdr:row>12</xdr:row>
      <xdr:rowOff>38100</xdr:rowOff>
    </xdr:from>
    <xdr:to>
      <xdr:col>6</xdr:col>
      <xdr:colOff>438149</xdr:colOff>
      <xdr:row>32</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904875</xdr:colOff>
      <xdr:row>72</xdr:row>
      <xdr:rowOff>9525</xdr:rowOff>
    </xdr:from>
    <xdr:to>
      <xdr:col>6</xdr:col>
      <xdr:colOff>1076324</xdr:colOff>
      <xdr:row>90</xdr:row>
      <xdr:rowOff>19050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914400</xdr:colOff>
      <xdr:row>50</xdr:row>
      <xdr:rowOff>28575</xdr:rowOff>
    </xdr:from>
    <xdr:to>
      <xdr:col>8</xdr:col>
      <xdr:colOff>590550</xdr:colOff>
      <xdr:row>64</xdr:row>
      <xdr:rowOff>76200</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381000</xdr:colOff>
      <xdr:row>0</xdr:row>
      <xdr:rowOff>0</xdr:rowOff>
    </xdr:from>
    <xdr:to>
      <xdr:col>2</xdr:col>
      <xdr:colOff>266700</xdr:colOff>
      <xdr:row>1</xdr:row>
      <xdr:rowOff>84870</xdr:rowOff>
    </xdr:to>
    <xdr:pic>
      <xdr:nvPicPr>
        <xdr:cNvPr id="7" name="Picture 6">
          <a:extLst>
            <a:ext uri="{FF2B5EF4-FFF2-40B4-BE49-F238E27FC236}">
              <a16:creationId xmlns:a16="http://schemas.microsoft.com/office/drawing/2014/main" id="{349EC3E0-A904-FB44-8D1F-DFB8A9E8A98B}"/>
            </a:ext>
          </a:extLst>
        </xdr:cNvPr>
        <xdr:cNvPicPr>
          <a:picLocks noChangeAspect="1"/>
        </xdr:cNvPicPr>
      </xdr:nvPicPr>
      <xdr:blipFill>
        <a:blip xmlns:r="http://schemas.openxmlformats.org/officeDocument/2006/relationships" r:embed="rId4"/>
        <a:stretch>
          <a:fillRect/>
        </a:stretch>
      </xdr:blipFill>
      <xdr:spPr>
        <a:xfrm>
          <a:off x="381000" y="0"/>
          <a:ext cx="2857500" cy="1291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88900</xdr:colOff>
      <xdr:row>0</xdr:row>
      <xdr:rowOff>0</xdr:rowOff>
    </xdr:from>
    <xdr:to>
      <xdr:col>3</xdr:col>
      <xdr:colOff>50800</xdr:colOff>
      <xdr:row>1</xdr:row>
      <xdr:rowOff>50434</xdr:rowOff>
    </xdr:to>
    <xdr:pic>
      <xdr:nvPicPr>
        <xdr:cNvPr id="4" name="Picture 3">
          <a:extLst>
            <a:ext uri="{FF2B5EF4-FFF2-40B4-BE49-F238E27FC236}">
              <a16:creationId xmlns:a16="http://schemas.microsoft.com/office/drawing/2014/main" id="{6087D739-A7AF-214D-8D7E-51E7999E87E3}"/>
            </a:ext>
          </a:extLst>
        </xdr:cNvPr>
        <xdr:cNvPicPr>
          <a:picLocks noChangeAspect="1"/>
        </xdr:cNvPicPr>
      </xdr:nvPicPr>
      <xdr:blipFill>
        <a:blip xmlns:r="http://schemas.openxmlformats.org/officeDocument/2006/relationships" r:embed="rId1"/>
        <a:stretch>
          <a:fillRect/>
        </a:stretch>
      </xdr:blipFill>
      <xdr:spPr>
        <a:xfrm>
          <a:off x="88900" y="0"/>
          <a:ext cx="2781300" cy="12569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xdr:colOff>
      <xdr:row>0</xdr:row>
      <xdr:rowOff>0</xdr:rowOff>
    </xdr:from>
    <xdr:to>
      <xdr:col>1</xdr:col>
      <xdr:colOff>2705100</xdr:colOff>
      <xdr:row>0</xdr:row>
      <xdr:rowOff>1193800</xdr:rowOff>
    </xdr:to>
    <xdr:pic>
      <xdr:nvPicPr>
        <xdr:cNvPr id="4" name="Picture 3">
          <a:extLst>
            <a:ext uri="{FF2B5EF4-FFF2-40B4-BE49-F238E27FC236}">
              <a16:creationId xmlns:a16="http://schemas.microsoft.com/office/drawing/2014/main" id="{90D41955-9470-AA44-8E63-B2B32A18CB7E}"/>
            </a:ext>
          </a:extLst>
        </xdr:cNvPr>
        <xdr:cNvPicPr>
          <a:picLocks noChangeAspect="1"/>
        </xdr:cNvPicPr>
      </xdr:nvPicPr>
      <xdr:blipFill>
        <a:blip xmlns:r="http://schemas.openxmlformats.org/officeDocument/2006/relationships" r:embed="rId1"/>
        <a:stretch>
          <a:fillRect/>
        </a:stretch>
      </xdr:blipFill>
      <xdr:spPr>
        <a:xfrm>
          <a:off x="762000" y="0"/>
          <a:ext cx="2641600" cy="1193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32"/>
  <sheetViews>
    <sheetView tabSelected="1" zoomScaleNormal="100" workbookViewId="0">
      <selection activeCell="C17" sqref="C17"/>
    </sheetView>
  </sheetViews>
  <sheetFormatPr defaultColWidth="8.85546875" defaultRowHeight="15"/>
  <cols>
    <col min="1" max="1" width="1.140625" style="2" customWidth="1"/>
    <col min="2" max="2" width="53.28515625" style="2" customWidth="1"/>
    <col min="3" max="3" width="20.140625" style="2" customWidth="1"/>
    <col min="4" max="4" width="24.7109375" style="19" customWidth="1"/>
    <col min="5" max="5" width="26.140625" style="20" customWidth="1"/>
    <col min="6" max="6" width="63.28515625" style="21" customWidth="1"/>
    <col min="7" max="9" width="15.85546875" style="2" customWidth="1"/>
    <col min="10" max="10" width="25" style="2" customWidth="1"/>
    <col min="11" max="16384" width="8.85546875" style="2"/>
  </cols>
  <sheetData>
    <row r="1" spans="2:21" ht="95.1" customHeight="1">
      <c r="B1" s="94" t="s">
        <v>59</v>
      </c>
      <c r="C1" s="94"/>
      <c r="D1" s="94"/>
      <c r="E1" s="94"/>
      <c r="F1" s="94"/>
      <c r="G1" s="94"/>
      <c r="H1" s="94"/>
      <c r="I1" s="94"/>
      <c r="J1" s="94"/>
    </row>
    <row r="2" spans="2:21" s="75" customFormat="1" ht="96.75" customHeight="1">
      <c r="B2" s="97" t="s">
        <v>99</v>
      </c>
      <c r="C2" s="97"/>
      <c r="D2" s="97"/>
      <c r="E2" s="97"/>
      <c r="F2" s="97"/>
      <c r="G2" s="97"/>
      <c r="H2" s="97"/>
      <c r="I2" s="97"/>
      <c r="J2" s="97"/>
    </row>
    <row r="3" spans="2:21" ht="68.25" customHeight="1">
      <c r="B3" s="22" t="s">
        <v>45</v>
      </c>
      <c r="C3" s="98" t="s">
        <v>77</v>
      </c>
      <c r="D3" s="98"/>
      <c r="E3" s="98"/>
      <c r="F3" s="98"/>
      <c r="G3" s="99"/>
      <c r="H3" s="99"/>
      <c r="I3" s="99"/>
      <c r="J3" s="99"/>
    </row>
    <row r="4" spans="2:21" s="8" customFormat="1" ht="16.5" thickBot="1">
      <c r="B4" s="3"/>
      <c r="C4" s="4"/>
      <c r="D4" s="5"/>
      <c r="E4" s="5"/>
      <c r="F4" s="6"/>
      <c r="G4" s="84"/>
      <c r="H4" s="84"/>
      <c r="I4" s="84"/>
      <c r="J4" s="84"/>
    </row>
    <row r="5" spans="2:21" ht="18.75" customHeight="1">
      <c r="B5" s="101" t="s">
        <v>52</v>
      </c>
      <c r="C5" s="102"/>
      <c r="D5" s="100" t="s">
        <v>46</v>
      </c>
      <c r="E5" s="100"/>
      <c r="F5" s="100"/>
      <c r="G5" s="113"/>
      <c r="H5" s="113"/>
      <c r="I5" s="113"/>
      <c r="J5" s="7"/>
      <c r="K5" s="8"/>
      <c r="L5" s="8"/>
      <c r="M5" s="8"/>
      <c r="N5" s="8"/>
      <c r="O5" s="8"/>
      <c r="P5" s="8"/>
      <c r="Q5" s="8"/>
      <c r="R5" s="8"/>
      <c r="S5" s="8"/>
      <c r="T5" s="8"/>
      <c r="U5" s="8"/>
    </row>
    <row r="6" spans="2:21" ht="18.75" customHeight="1">
      <c r="B6" s="73" t="s">
        <v>0</v>
      </c>
      <c r="C6" s="85">
        <v>2018</v>
      </c>
      <c r="D6" s="95" t="s">
        <v>85</v>
      </c>
      <c r="E6" s="95"/>
      <c r="F6" s="95"/>
      <c r="G6" s="96"/>
      <c r="H6" s="96"/>
      <c r="I6" s="96"/>
      <c r="J6" s="7"/>
      <c r="K6" s="8"/>
      <c r="L6" s="8"/>
      <c r="M6" s="8"/>
      <c r="N6" s="8"/>
      <c r="O6" s="8"/>
      <c r="P6" s="8"/>
      <c r="Q6" s="8"/>
      <c r="R6" s="8"/>
      <c r="S6" s="8"/>
      <c r="T6" s="8"/>
      <c r="U6" s="8"/>
    </row>
    <row r="7" spans="2:21" s="11" customFormat="1" ht="18" customHeight="1">
      <c r="B7" s="73" t="s">
        <v>25</v>
      </c>
      <c r="C7" s="86">
        <v>150000</v>
      </c>
      <c r="D7" s="95" t="s">
        <v>84</v>
      </c>
      <c r="E7" s="95"/>
      <c r="F7" s="95"/>
      <c r="G7" s="96"/>
      <c r="H7" s="96"/>
      <c r="I7" s="96"/>
      <c r="J7" s="10"/>
    </row>
    <row r="8" spans="2:21" s="11" customFormat="1" ht="34.5" customHeight="1">
      <c r="B8" s="73" t="s">
        <v>78</v>
      </c>
      <c r="C8" s="86">
        <v>50000</v>
      </c>
      <c r="D8" s="95" t="s">
        <v>86</v>
      </c>
      <c r="E8" s="95"/>
      <c r="F8" s="95"/>
      <c r="G8" s="96"/>
      <c r="H8" s="96"/>
      <c r="I8" s="96"/>
      <c r="J8" s="10"/>
    </row>
    <row r="9" spans="2:21" s="11" customFormat="1" ht="18" customHeight="1">
      <c r="B9" s="73" t="s">
        <v>14</v>
      </c>
      <c r="C9" s="86">
        <v>100000</v>
      </c>
      <c r="D9" s="95" t="s">
        <v>82</v>
      </c>
      <c r="E9" s="95"/>
      <c r="F9" s="95"/>
      <c r="G9" s="96"/>
      <c r="H9" s="96"/>
      <c r="I9" s="96"/>
      <c r="J9" s="10"/>
    </row>
    <row r="10" spans="2:21" s="11" customFormat="1" ht="18" customHeight="1">
      <c r="B10" s="73" t="s">
        <v>26</v>
      </c>
      <c r="C10" s="85">
        <v>5</v>
      </c>
      <c r="D10" s="105" t="s">
        <v>40</v>
      </c>
      <c r="E10" s="106"/>
      <c r="F10" s="106"/>
      <c r="G10" s="96"/>
      <c r="H10" s="96"/>
      <c r="I10" s="96"/>
      <c r="J10" s="10"/>
    </row>
    <row r="11" spans="2:21" s="11" customFormat="1" ht="18" customHeight="1">
      <c r="B11" s="74" t="s">
        <v>16</v>
      </c>
      <c r="C11" s="87">
        <v>4.4999999999999998E-2</v>
      </c>
      <c r="D11" s="105" t="s">
        <v>83</v>
      </c>
      <c r="E11" s="106"/>
      <c r="F11" s="106"/>
      <c r="G11" s="96"/>
      <c r="H11" s="96"/>
      <c r="I11" s="96"/>
      <c r="J11" s="10"/>
    </row>
    <row r="12" spans="2:21" ht="18" customHeight="1">
      <c r="B12" s="74" t="s">
        <v>32</v>
      </c>
      <c r="C12" s="87" t="s">
        <v>33</v>
      </c>
      <c r="D12" s="107" t="s">
        <v>87</v>
      </c>
      <c r="E12" s="108"/>
      <c r="F12" s="109"/>
      <c r="G12" s="96"/>
      <c r="H12" s="96"/>
      <c r="I12" s="96"/>
      <c r="J12" s="7"/>
      <c r="K12" s="8"/>
      <c r="L12" s="8"/>
      <c r="M12" s="8"/>
      <c r="N12" s="8"/>
      <c r="O12" s="8"/>
      <c r="P12" s="8"/>
      <c r="Q12" s="8"/>
      <c r="R12" s="8"/>
      <c r="S12" s="8"/>
      <c r="T12" s="8"/>
      <c r="U12" s="8"/>
    </row>
    <row r="13" spans="2:21" ht="18" customHeight="1">
      <c r="B13" s="12" t="s">
        <v>37</v>
      </c>
      <c r="C13" s="88">
        <f>IF(C9=0,"n/a",IF(C10=0,"Enter ""Loan term"" above.",ROUND(IF(C12="weekly",C10*365.25/7,IF(C12="bi-weekly",C10*365.25/14,IF(C12="monthly",C10*12,IF(C12="yearly",C10,"")))),1)))</f>
        <v>60</v>
      </c>
      <c r="D13" s="95" t="s">
        <v>88</v>
      </c>
      <c r="E13" s="95"/>
      <c r="F13" s="95"/>
      <c r="G13" s="96"/>
      <c r="H13" s="96"/>
      <c r="I13" s="96"/>
      <c r="J13" s="7"/>
      <c r="K13" s="8"/>
      <c r="L13" s="8"/>
      <c r="M13" s="8"/>
      <c r="N13" s="8"/>
      <c r="O13" s="8"/>
      <c r="P13" s="8"/>
      <c r="Q13" s="8"/>
      <c r="R13" s="8"/>
      <c r="S13" s="8"/>
      <c r="T13" s="8"/>
      <c r="U13" s="8"/>
    </row>
    <row r="14" spans="2:21" ht="18" customHeight="1">
      <c r="B14" s="12" t="s">
        <v>38</v>
      </c>
      <c r="C14" s="89">
        <f>IF(C9=0,"n/a",IF(C10=0,"Enter ""Loan term"" above.",(1+C11)^(1/(C13/C10))-1))</f>
        <v>3.6748094004368514E-3</v>
      </c>
      <c r="D14" s="95"/>
      <c r="E14" s="95"/>
      <c r="F14" s="95"/>
      <c r="G14" s="96"/>
      <c r="H14" s="96"/>
      <c r="I14" s="96"/>
      <c r="J14" s="7"/>
      <c r="K14" s="8"/>
      <c r="L14" s="8"/>
      <c r="M14" s="8"/>
      <c r="N14" s="8"/>
      <c r="O14" s="8"/>
      <c r="P14" s="8"/>
      <c r="Q14" s="8"/>
      <c r="R14" s="8"/>
      <c r="S14" s="8"/>
      <c r="T14" s="8"/>
      <c r="U14" s="8"/>
    </row>
    <row r="15" spans="2:21" s="11" customFormat="1" ht="18" customHeight="1">
      <c r="B15" s="9" t="s">
        <v>48</v>
      </c>
      <c r="C15" s="90">
        <f>IF(C9=0,"n/a",IF(C10=0,"Enter ""Loan term"" above.",-PMT(C14,C13,C9,0)))</f>
        <v>1860.2019070931171</v>
      </c>
      <c r="D15" s="95" t="s">
        <v>89</v>
      </c>
      <c r="E15" s="95"/>
      <c r="F15" s="95"/>
      <c r="G15" s="96"/>
      <c r="H15" s="96"/>
      <c r="I15" s="96"/>
      <c r="J15" s="10"/>
    </row>
    <row r="16" spans="2:21" ht="18" customHeight="1">
      <c r="B16" s="74" t="s">
        <v>44</v>
      </c>
      <c r="C16" s="86">
        <v>120000</v>
      </c>
      <c r="D16" s="95" t="s">
        <v>92</v>
      </c>
      <c r="E16" s="95"/>
      <c r="F16" s="95"/>
      <c r="G16" s="96"/>
      <c r="H16" s="96"/>
      <c r="I16" s="96"/>
      <c r="J16" s="7"/>
      <c r="K16" s="8"/>
      <c r="L16" s="8"/>
      <c r="M16" s="8"/>
      <c r="N16" s="8"/>
      <c r="O16" s="8"/>
      <c r="P16" s="8"/>
      <c r="Q16" s="8"/>
      <c r="R16" s="8"/>
      <c r="S16" s="8"/>
      <c r="T16" s="8"/>
      <c r="U16" s="8"/>
    </row>
    <row r="17" spans="2:21" ht="31.5" customHeight="1">
      <c r="B17" s="74" t="s">
        <v>49</v>
      </c>
      <c r="C17" s="91">
        <v>2640</v>
      </c>
      <c r="D17" s="95" t="s">
        <v>93</v>
      </c>
      <c r="E17" s="95"/>
      <c r="F17" s="95"/>
      <c r="G17" s="96"/>
      <c r="H17" s="96"/>
      <c r="I17" s="96"/>
      <c r="J17" s="7"/>
      <c r="K17" s="8"/>
      <c r="L17" s="8"/>
      <c r="M17" s="8"/>
      <c r="N17" s="8"/>
      <c r="O17" s="8"/>
      <c r="P17" s="8"/>
      <c r="Q17" s="8"/>
      <c r="R17" s="8"/>
      <c r="S17" s="8"/>
      <c r="T17" s="8"/>
      <c r="U17" s="8"/>
    </row>
    <row r="18" spans="2:21" ht="17.25" customHeight="1">
      <c r="B18" s="12" t="s">
        <v>15</v>
      </c>
      <c r="C18" s="92">
        <v>3.6999999999999998E-2</v>
      </c>
      <c r="D18" s="95" t="s">
        <v>94</v>
      </c>
      <c r="E18" s="95"/>
      <c r="F18" s="95"/>
      <c r="G18" s="96"/>
      <c r="H18" s="96"/>
      <c r="I18" s="96"/>
      <c r="J18" s="7"/>
      <c r="K18" s="8"/>
      <c r="L18" s="8"/>
      <c r="M18" s="8"/>
      <c r="N18" s="8"/>
      <c r="O18" s="8"/>
      <c r="P18" s="8"/>
      <c r="Q18" s="8"/>
      <c r="R18" s="8"/>
      <c r="S18" s="8"/>
      <c r="T18" s="8"/>
      <c r="U18" s="8"/>
    </row>
    <row r="19" spans="2:21" ht="54.95" customHeight="1">
      <c r="B19" s="74" t="s">
        <v>41</v>
      </c>
      <c r="C19" s="86">
        <v>2000</v>
      </c>
      <c r="D19" s="95" t="s">
        <v>50</v>
      </c>
      <c r="E19" s="95"/>
      <c r="F19" s="95"/>
      <c r="G19" s="96"/>
      <c r="H19" s="96"/>
      <c r="I19" s="96"/>
      <c r="J19" s="7"/>
    </row>
    <row r="20" spans="2:21" ht="18.75" customHeight="1" thickBot="1">
      <c r="B20" s="13" t="s">
        <v>79</v>
      </c>
      <c r="C20" s="93">
        <v>3.8100000000000002E-2</v>
      </c>
      <c r="D20" s="95" t="s">
        <v>51</v>
      </c>
      <c r="E20" s="95"/>
      <c r="F20" s="95"/>
      <c r="G20" s="96"/>
      <c r="H20" s="96"/>
      <c r="I20" s="96"/>
      <c r="J20" s="7"/>
      <c r="K20" s="8"/>
      <c r="L20" s="8"/>
      <c r="M20" s="8"/>
      <c r="N20" s="8"/>
      <c r="O20" s="8"/>
      <c r="P20" s="8"/>
      <c r="Q20" s="8"/>
      <c r="R20" s="8"/>
      <c r="S20" s="8"/>
      <c r="T20" s="8"/>
      <c r="U20" s="8"/>
    </row>
    <row r="21" spans="2:21" s="17" customFormat="1" ht="46.5" customHeight="1" thickBot="1">
      <c r="B21" s="14"/>
      <c r="C21" s="15"/>
      <c r="D21" s="16"/>
      <c r="E21" s="16"/>
      <c r="F21" s="16"/>
      <c r="G21" s="14"/>
      <c r="H21" s="14"/>
      <c r="I21" s="14"/>
      <c r="J21" s="10"/>
    </row>
    <row r="22" spans="2:21" ht="16.5" thickBot="1">
      <c r="B22" s="111" t="s">
        <v>47</v>
      </c>
      <c r="C22" s="112"/>
      <c r="D22" s="18"/>
      <c r="E22" s="18"/>
      <c r="F22" s="6"/>
      <c r="G22" s="7"/>
      <c r="H22" s="7"/>
      <c r="I22" s="7"/>
      <c r="J22" s="7"/>
    </row>
    <row r="23" spans="2:21">
      <c r="B23" s="110" t="s">
        <v>9</v>
      </c>
      <c r="C23" s="110"/>
      <c r="D23" s="18"/>
      <c r="E23" s="18"/>
      <c r="F23" s="6"/>
      <c r="G23" s="7"/>
      <c r="H23" s="7"/>
      <c r="I23" s="7"/>
      <c r="J23" s="7"/>
    </row>
    <row r="24" spans="2:21">
      <c r="B24" s="103" t="s">
        <v>80</v>
      </c>
      <c r="C24" s="104"/>
      <c r="D24" s="18"/>
      <c r="E24" s="18"/>
      <c r="F24" s="6"/>
      <c r="G24" s="7"/>
      <c r="H24" s="7"/>
      <c r="I24" s="7"/>
      <c r="J24" s="7"/>
    </row>
    <row r="25" spans="2:21">
      <c r="B25" s="110" t="s">
        <v>42</v>
      </c>
      <c r="C25" s="110"/>
      <c r="D25" s="18"/>
      <c r="E25" s="18"/>
      <c r="F25" s="6"/>
      <c r="G25" s="7"/>
      <c r="H25" s="7"/>
      <c r="I25" s="7"/>
      <c r="J25" s="7"/>
    </row>
    <row r="26" spans="2:21">
      <c r="B26" s="103" t="s">
        <v>43</v>
      </c>
      <c r="C26" s="104"/>
      <c r="D26" s="18"/>
      <c r="E26" s="18"/>
      <c r="F26" s="6"/>
      <c r="G26" s="7"/>
      <c r="H26" s="7"/>
      <c r="I26" s="7"/>
      <c r="J26" s="7"/>
    </row>
    <row r="27" spans="2:21" ht="37.5" customHeight="1">
      <c r="B27" s="103" t="s">
        <v>81</v>
      </c>
      <c r="C27" s="104"/>
      <c r="D27" s="18"/>
      <c r="E27" s="18"/>
      <c r="F27" s="6"/>
      <c r="G27" s="7"/>
      <c r="H27" s="7"/>
      <c r="I27" s="7"/>
      <c r="J27" s="7"/>
    </row>
    <row r="28" spans="2:21">
      <c r="B28" s="7"/>
      <c r="C28" s="7"/>
      <c r="D28" s="18"/>
      <c r="E28" s="18"/>
      <c r="F28" s="6"/>
      <c r="G28" s="7"/>
      <c r="H28" s="7"/>
      <c r="I28" s="7"/>
      <c r="J28" s="7"/>
    </row>
    <row r="29" spans="2:21">
      <c r="B29" s="7"/>
      <c r="C29" s="7"/>
      <c r="D29" s="18"/>
      <c r="E29" s="18"/>
      <c r="F29" s="6"/>
      <c r="G29" s="7"/>
      <c r="H29" s="7"/>
      <c r="I29" s="7"/>
      <c r="J29" s="7"/>
    </row>
    <row r="30" spans="2:21">
      <c r="B30" s="7"/>
      <c r="C30" s="7"/>
      <c r="D30" s="18"/>
      <c r="E30" s="18"/>
      <c r="F30" s="6"/>
      <c r="G30" s="7"/>
      <c r="H30" s="7"/>
      <c r="I30" s="7"/>
      <c r="J30" s="7"/>
    </row>
    <row r="31" spans="2:21">
      <c r="J31" s="8"/>
    </row>
    <row r="32" spans="2:21">
      <c r="J32" s="8"/>
    </row>
  </sheetData>
  <sheetProtection algorithmName="SHA-512" hashValue="USKbUq7GXNHnT9f1Kjk7ibv+8FDwKdvfyHHdzthyQBY11qoL8m55HaQ4tSL5rLrh7qBMkID9lMogMvsUNq45Fw==" saltValue="uQItppTOr+L+W/D0G6umNA==" spinCount="100000" sheet="1" objects="1" scenarios="1"/>
  <protectedRanges>
    <protectedRange sqref="C16 C19 C6:C12" name="Range1"/>
  </protectedRanges>
  <customSheetViews>
    <customSheetView guid="{4F8E946C-576B-4F5C-9A70-E90BD55E70A4}" scale="90" fitToPage="1" printArea="1" topLeftCell="A10">
      <selection activeCell="B13" sqref="B13"/>
      <pageMargins left="1.35" right="0.7" top="0.75" bottom="0.75" header="0.3" footer="0.3"/>
      <pageSetup scale="36" orientation="portrait" r:id="rId1"/>
    </customSheetView>
  </customSheetViews>
  <mergeCells count="42">
    <mergeCell ref="G19:I19"/>
    <mergeCell ref="G18:I18"/>
    <mergeCell ref="G20:I20"/>
    <mergeCell ref="D7:F7"/>
    <mergeCell ref="G13:I13"/>
    <mergeCell ref="G14:I14"/>
    <mergeCell ref="G17:I17"/>
    <mergeCell ref="G12:I12"/>
    <mergeCell ref="G5:I5"/>
    <mergeCell ref="G8:I8"/>
    <mergeCell ref="G7:I7"/>
    <mergeCell ref="G16:I16"/>
    <mergeCell ref="G15:I15"/>
    <mergeCell ref="B27:C27"/>
    <mergeCell ref="D10:F10"/>
    <mergeCell ref="D11:F11"/>
    <mergeCell ref="D12:F12"/>
    <mergeCell ref="D13:F13"/>
    <mergeCell ref="D14:F14"/>
    <mergeCell ref="D15:F15"/>
    <mergeCell ref="B24:C24"/>
    <mergeCell ref="B23:C23"/>
    <mergeCell ref="B25:C25"/>
    <mergeCell ref="B26:C26"/>
    <mergeCell ref="D16:F16"/>
    <mergeCell ref="B22:C22"/>
    <mergeCell ref="B1:J1"/>
    <mergeCell ref="D17:F17"/>
    <mergeCell ref="D18:F18"/>
    <mergeCell ref="D19:F19"/>
    <mergeCell ref="D20:F20"/>
    <mergeCell ref="G9:I9"/>
    <mergeCell ref="G11:I11"/>
    <mergeCell ref="G10:I10"/>
    <mergeCell ref="D8:F8"/>
    <mergeCell ref="B2:J2"/>
    <mergeCell ref="C3:J3"/>
    <mergeCell ref="G6:I6"/>
    <mergeCell ref="D5:F5"/>
    <mergeCell ref="D6:F6"/>
    <mergeCell ref="D9:F9"/>
    <mergeCell ref="B5:C5"/>
  </mergeCells>
  <phoneticPr fontId="2" type="noConversion"/>
  <conditionalFormatting sqref="C13:C15">
    <cfRule type="expression" dxfId="1" priority="1">
      <formula>$C$9=0</formula>
    </cfRule>
  </conditionalFormatting>
  <pageMargins left="1.35" right="0.7" top="0.75" bottom="0.75" header="0.3" footer="0.3"/>
  <pageSetup scale="36"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'payment frequency'!$A$1:$A$4</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2"/>
  <sheetViews>
    <sheetView topLeftCell="A37" workbookViewId="0">
      <selection activeCell="K75" sqref="K75"/>
    </sheetView>
  </sheetViews>
  <sheetFormatPr defaultColWidth="9.140625" defaultRowHeight="14.25"/>
  <cols>
    <col min="1" max="9" width="19.42578125" style="1" customWidth="1"/>
    <col min="10" max="16384" width="9.140625" style="1"/>
  </cols>
  <sheetData>
    <row r="1" spans="1:9" ht="95.1" customHeight="1">
      <c r="A1" s="94" t="s">
        <v>58</v>
      </c>
      <c r="B1" s="94"/>
      <c r="C1" s="94"/>
      <c r="D1" s="94"/>
      <c r="E1" s="94"/>
      <c r="F1" s="94"/>
      <c r="G1" s="94"/>
      <c r="H1" s="94"/>
      <c r="I1" s="94"/>
    </row>
    <row r="2" spans="1:9" ht="46.5" customHeight="1">
      <c r="A2" s="115" t="s">
        <v>97</v>
      </c>
      <c r="B2" s="115"/>
      <c r="C2" s="115"/>
      <c r="D2" s="115"/>
      <c r="E2" s="115"/>
      <c r="F2" s="115"/>
      <c r="G2" s="115"/>
      <c r="H2" s="115"/>
      <c r="I2" s="115"/>
    </row>
    <row r="3" spans="1:9" ht="15">
      <c r="A3" s="31"/>
      <c r="B3" s="31"/>
      <c r="C3" s="31"/>
      <c r="D3" s="31"/>
      <c r="E3" s="31"/>
      <c r="F3" s="31"/>
      <c r="G3" s="31"/>
      <c r="H3" s="31"/>
      <c r="I3" s="31"/>
    </row>
    <row r="4" spans="1:9" ht="54" customHeight="1">
      <c r="A4" s="118" t="s">
        <v>53</v>
      </c>
      <c r="B4" s="118"/>
      <c r="C4" s="118"/>
      <c r="D4" s="119" t="s">
        <v>54</v>
      </c>
      <c r="E4" s="119"/>
      <c r="F4" s="119"/>
      <c r="G4" s="119"/>
      <c r="H4" s="119"/>
      <c r="I4" s="119"/>
    </row>
    <row r="5" spans="1:9">
      <c r="A5" s="23"/>
      <c r="B5" s="23"/>
      <c r="C5" s="23"/>
      <c r="D5" s="23"/>
      <c r="E5" s="23"/>
      <c r="F5" s="23"/>
      <c r="G5" s="23"/>
      <c r="H5" s="23"/>
      <c r="I5" s="23"/>
    </row>
    <row r="6" spans="1:9">
      <c r="A6" s="23"/>
      <c r="B6" s="23"/>
      <c r="C6" s="23"/>
      <c r="D6" s="23"/>
      <c r="E6" s="23"/>
      <c r="F6" s="23"/>
      <c r="G6" s="23"/>
      <c r="H6" s="23"/>
      <c r="I6" s="23"/>
    </row>
    <row r="7" spans="1:9" ht="20.25">
      <c r="A7" s="24" t="s">
        <v>55</v>
      </c>
      <c r="B7" s="23"/>
      <c r="C7" s="23"/>
      <c r="D7" s="23"/>
      <c r="E7" s="23"/>
      <c r="F7" s="23"/>
      <c r="G7" s="23"/>
      <c r="H7" s="23"/>
      <c r="I7" s="23"/>
    </row>
    <row r="8" spans="1:9" ht="15">
      <c r="A8" s="31" t="s">
        <v>90</v>
      </c>
      <c r="B8" s="23"/>
      <c r="C8" s="23"/>
      <c r="D8" s="23"/>
      <c r="E8" s="23"/>
      <c r="F8" s="23"/>
      <c r="G8" s="23"/>
      <c r="H8" s="23"/>
      <c r="I8" s="23"/>
    </row>
    <row r="9" spans="1:9" ht="15">
      <c r="A9" s="31" t="s">
        <v>98</v>
      </c>
      <c r="B9" s="23"/>
      <c r="C9" s="23"/>
      <c r="D9" s="23"/>
      <c r="E9" s="23"/>
      <c r="F9" s="23"/>
      <c r="G9" s="23"/>
      <c r="H9" s="23"/>
      <c r="I9" s="23"/>
    </row>
    <row r="10" spans="1:9" ht="15" thickBot="1">
      <c r="A10" s="23"/>
      <c r="B10" s="23"/>
      <c r="C10" s="23"/>
      <c r="D10" s="23"/>
      <c r="E10" s="23"/>
      <c r="F10" s="23"/>
      <c r="G10" s="23"/>
      <c r="H10" s="23"/>
      <c r="I10" s="23"/>
    </row>
    <row r="11" spans="1:9" ht="56.25" customHeight="1" thickBot="1">
      <c r="C11" s="116" t="s">
        <v>73</v>
      </c>
      <c r="D11" s="117"/>
      <c r="E11" s="25">
        <f>'Step 4 Break-even'!E5</f>
        <v>10</v>
      </c>
      <c r="F11" s="23"/>
      <c r="G11" s="23"/>
      <c r="H11" s="23"/>
      <c r="I11" s="23"/>
    </row>
    <row r="12" spans="1:9">
      <c r="A12" s="23"/>
      <c r="B12" s="23"/>
      <c r="C12" s="23"/>
      <c r="D12" s="23"/>
      <c r="E12" s="23"/>
      <c r="F12" s="23"/>
      <c r="G12" s="23"/>
      <c r="H12" s="23"/>
      <c r="I12" s="23"/>
    </row>
    <row r="13" spans="1:9">
      <c r="A13" s="23"/>
      <c r="B13" s="23"/>
      <c r="C13" s="23"/>
      <c r="D13" s="23"/>
      <c r="E13" s="23"/>
      <c r="F13" s="23"/>
      <c r="G13" s="23"/>
      <c r="H13" s="23"/>
      <c r="I13" s="23"/>
    </row>
    <row r="14" spans="1:9">
      <c r="A14" s="23"/>
      <c r="B14" s="23"/>
      <c r="C14" s="23"/>
      <c r="D14" s="23"/>
      <c r="E14" s="23"/>
      <c r="F14" s="23"/>
      <c r="G14" s="23"/>
      <c r="H14" s="23"/>
      <c r="I14" s="23"/>
    </row>
    <row r="15" spans="1:9">
      <c r="A15" s="23"/>
      <c r="B15" s="23"/>
      <c r="C15" s="23"/>
      <c r="D15" s="23"/>
      <c r="E15" s="23"/>
      <c r="F15" s="23"/>
      <c r="G15" s="23"/>
      <c r="H15" s="23"/>
      <c r="I15" s="23"/>
    </row>
    <row r="16" spans="1:9">
      <c r="A16" s="23"/>
      <c r="B16" s="23"/>
      <c r="C16" s="23"/>
      <c r="D16" s="23"/>
      <c r="E16" s="23"/>
      <c r="F16" s="23"/>
      <c r="G16" s="23"/>
      <c r="H16" s="23"/>
      <c r="I16" s="23"/>
    </row>
    <row r="17" spans="1:9">
      <c r="A17" s="23"/>
      <c r="B17" s="23"/>
      <c r="C17" s="23"/>
      <c r="D17" s="23"/>
      <c r="E17" s="23"/>
      <c r="F17" s="23"/>
      <c r="G17" s="23"/>
      <c r="H17" s="23"/>
      <c r="I17" s="23"/>
    </row>
    <row r="18" spans="1:9">
      <c r="A18" s="23"/>
      <c r="B18" s="23"/>
      <c r="C18" s="23"/>
      <c r="D18" s="23"/>
      <c r="E18" s="23"/>
      <c r="F18" s="23"/>
      <c r="G18" s="23"/>
      <c r="H18" s="23"/>
      <c r="I18" s="23"/>
    </row>
    <row r="19" spans="1:9">
      <c r="A19" s="23"/>
      <c r="B19" s="23"/>
      <c r="C19" s="23"/>
      <c r="D19" s="23"/>
      <c r="E19" s="23"/>
      <c r="F19" s="23"/>
      <c r="G19" s="23"/>
      <c r="H19" s="23"/>
      <c r="I19" s="23"/>
    </row>
    <row r="20" spans="1:9">
      <c r="A20" s="23"/>
      <c r="B20" s="23"/>
      <c r="C20" s="23"/>
      <c r="D20" s="23"/>
      <c r="E20" s="23"/>
      <c r="F20" s="23"/>
      <c r="G20" s="23"/>
      <c r="H20" s="23"/>
      <c r="I20" s="23"/>
    </row>
    <row r="21" spans="1:9">
      <c r="A21" s="23"/>
      <c r="B21" s="23"/>
      <c r="C21" s="23"/>
      <c r="D21" s="23"/>
      <c r="E21" s="23"/>
      <c r="F21" s="23"/>
      <c r="G21" s="23"/>
      <c r="H21" s="23"/>
      <c r="I21" s="23"/>
    </row>
    <row r="22" spans="1:9">
      <c r="A22" s="23"/>
      <c r="B22" s="23"/>
      <c r="C22" s="23"/>
      <c r="D22" s="23"/>
      <c r="E22" s="23"/>
      <c r="F22" s="23"/>
      <c r="G22" s="23"/>
      <c r="H22" s="23"/>
      <c r="I22" s="23"/>
    </row>
    <row r="23" spans="1:9">
      <c r="A23" s="23"/>
      <c r="B23" s="23"/>
      <c r="C23" s="23"/>
      <c r="D23" s="23"/>
      <c r="E23" s="23"/>
      <c r="F23" s="23"/>
      <c r="G23" s="23"/>
      <c r="H23" s="23"/>
      <c r="I23" s="23"/>
    </row>
    <row r="24" spans="1:9">
      <c r="A24" s="23"/>
      <c r="B24" s="23"/>
      <c r="C24" s="23"/>
      <c r="D24" s="23"/>
      <c r="E24" s="23"/>
      <c r="F24" s="23"/>
      <c r="G24" s="23"/>
      <c r="H24" s="23"/>
      <c r="I24" s="23"/>
    </row>
    <row r="25" spans="1:9">
      <c r="A25" s="23"/>
      <c r="B25" s="23"/>
      <c r="C25" s="23"/>
      <c r="D25" s="23"/>
      <c r="E25" s="23"/>
      <c r="F25" s="23"/>
      <c r="G25" s="23"/>
      <c r="H25" s="23"/>
      <c r="I25" s="23"/>
    </row>
    <row r="26" spans="1:9">
      <c r="A26" s="23"/>
      <c r="B26" s="23"/>
      <c r="C26" s="23"/>
      <c r="D26" s="23"/>
      <c r="E26" s="23"/>
      <c r="F26" s="23"/>
      <c r="G26" s="23"/>
      <c r="H26" s="23"/>
      <c r="I26" s="23"/>
    </row>
    <row r="27" spans="1:9">
      <c r="A27" s="23"/>
      <c r="B27" s="23"/>
      <c r="C27" s="23"/>
      <c r="D27" s="23"/>
      <c r="E27" s="23"/>
      <c r="F27" s="23"/>
      <c r="G27" s="23"/>
      <c r="H27" s="23"/>
      <c r="I27" s="23"/>
    </row>
    <row r="28" spans="1:9">
      <c r="A28" s="23"/>
      <c r="B28" s="23"/>
      <c r="C28" s="23"/>
      <c r="D28" s="23"/>
      <c r="E28" s="23"/>
      <c r="F28" s="23"/>
      <c r="G28" s="23"/>
      <c r="H28" s="23"/>
      <c r="I28" s="23"/>
    </row>
    <row r="29" spans="1:9">
      <c r="A29" s="23"/>
      <c r="B29" s="23"/>
      <c r="C29" s="23"/>
      <c r="D29" s="23"/>
      <c r="E29" s="23"/>
      <c r="F29" s="23"/>
      <c r="G29" s="23"/>
      <c r="H29" s="23"/>
      <c r="I29" s="23"/>
    </row>
    <row r="30" spans="1:9">
      <c r="A30" s="23"/>
      <c r="B30" s="23"/>
      <c r="C30" s="23"/>
      <c r="D30" s="23"/>
      <c r="E30" s="23"/>
      <c r="F30" s="23"/>
      <c r="G30" s="23"/>
      <c r="H30" s="23"/>
      <c r="I30" s="23"/>
    </row>
    <row r="31" spans="1:9">
      <c r="A31" s="23"/>
      <c r="B31" s="23"/>
      <c r="C31" s="23"/>
      <c r="D31" s="23"/>
      <c r="E31" s="23"/>
      <c r="F31" s="23"/>
      <c r="G31" s="23"/>
      <c r="H31" s="23"/>
      <c r="I31" s="23"/>
    </row>
    <row r="32" spans="1:9">
      <c r="A32" s="23"/>
      <c r="B32" s="23"/>
      <c r="C32" s="23"/>
      <c r="D32" s="23"/>
      <c r="E32" s="23"/>
      <c r="F32" s="23"/>
      <c r="G32" s="23"/>
      <c r="H32" s="23"/>
      <c r="I32" s="23"/>
    </row>
    <row r="33" spans="1:9">
      <c r="A33" s="23"/>
      <c r="B33" s="23"/>
      <c r="C33" s="23"/>
      <c r="D33" s="23"/>
      <c r="E33" s="23"/>
      <c r="F33" s="23"/>
      <c r="G33" s="23"/>
      <c r="H33" s="23"/>
      <c r="I33" s="23"/>
    </row>
    <row r="34" spans="1:9">
      <c r="A34" s="23"/>
      <c r="B34" s="23"/>
      <c r="C34" s="23"/>
      <c r="D34" s="23"/>
      <c r="E34" s="23"/>
      <c r="F34" s="23"/>
      <c r="G34" s="23"/>
      <c r="H34" s="23"/>
      <c r="I34" s="23"/>
    </row>
    <row r="35" spans="1:9" ht="20.25">
      <c r="A35" s="24" t="s">
        <v>56</v>
      </c>
      <c r="B35" s="23"/>
      <c r="C35" s="23"/>
      <c r="D35" s="23"/>
      <c r="E35" s="23"/>
      <c r="F35" s="23"/>
      <c r="G35" s="23"/>
      <c r="H35" s="23"/>
      <c r="I35" s="23"/>
    </row>
    <row r="36" spans="1:9" ht="15">
      <c r="A36" s="31" t="s">
        <v>91</v>
      </c>
      <c r="B36" s="31"/>
      <c r="C36" s="31"/>
      <c r="D36" s="31"/>
      <c r="E36" s="31"/>
      <c r="F36" s="31"/>
      <c r="G36" s="31"/>
      <c r="H36" s="31"/>
      <c r="I36" s="31"/>
    </row>
    <row r="37" spans="1:9" ht="15">
      <c r="A37" s="31" t="s">
        <v>95</v>
      </c>
      <c r="B37" s="31"/>
      <c r="C37" s="31"/>
      <c r="D37" s="31"/>
      <c r="E37" s="31"/>
      <c r="F37" s="31"/>
      <c r="G37" s="31"/>
      <c r="H37" s="31"/>
      <c r="I37" s="31"/>
    </row>
    <row r="38" spans="1:9" ht="15">
      <c r="A38" s="31"/>
      <c r="B38" s="31"/>
      <c r="C38" s="31"/>
      <c r="D38" s="31"/>
      <c r="E38" s="31"/>
      <c r="F38" s="31"/>
      <c r="G38" s="31"/>
      <c r="H38" s="31"/>
      <c r="I38" s="31"/>
    </row>
    <row r="39" spans="1:9" ht="15.75">
      <c r="A39" s="31"/>
      <c r="B39" s="31"/>
      <c r="C39" s="3"/>
      <c r="D39" s="7"/>
      <c r="E39" s="18"/>
      <c r="F39" s="18"/>
      <c r="G39" s="26" t="s">
        <v>13</v>
      </c>
      <c r="H39" s="31"/>
      <c r="I39" s="31"/>
    </row>
    <row r="40" spans="1:9" ht="31.5">
      <c r="A40" s="31"/>
      <c r="B40" s="31"/>
      <c r="C40" s="60" t="s">
        <v>1</v>
      </c>
      <c r="D40" s="61" t="s">
        <v>10</v>
      </c>
      <c r="E40" s="62" t="s">
        <v>11</v>
      </c>
      <c r="F40" s="62" t="s">
        <v>12</v>
      </c>
      <c r="G40" s="61" t="s">
        <v>18</v>
      </c>
      <c r="H40" s="31"/>
      <c r="I40" s="31"/>
    </row>
    <row r="41" spans="1:9" ht="15.75">
      <c r="A41" s="31"/>
      <c r="B41" s="31"/>
      <c r="C41" s="27" t="s">
        <v>62</v>
      </c>
      <c r="D41" s="28">
        <f>'Step 3 - Benefit Cost Analysis'!H18-'Step 3 - Benefit Cost Analysis'!N18</f>
        <v>144022.49838199851</v>
      </c>
      <c r="E41" s="29">
        <f>'Step 3 - Benefit Cost Analysis'!H30-'Step 3 - Benefit Cost Analysis'!N30</f>
        <v>461632.51409943041</v>
      </c>
      <c r="F41" s="29">
        <f>'Step 3 - Benefit Cost Analysis'!H42-'Step 3 - Benefit Cost Analysis'!N42</f>
        <v>682335.30977232219</v>
      </c>
      <c r="G41" s="30">
        <f>D41+E41+F41</f>
        <v>1287990.3222537511</v>
      </c>
      <c r="H41" s="31"/>
      <c r="I41" s="31"/>
    </row>
    <row r="42" spans="1:9" ht="15">
      <c r="A42" s="31"/>
      <c r="B42" s="31"/>
      <c r="C42" s="31"/>
      <c r="D42" s="31"/>
      <c r="E42" s="31"/>
      <c r="F42" s="31"/>
      <c r="G42" s="31"/>
      <c r="H42" s="31"/>
      <c r="I42" s="31"/>
    </row>
    <row r="43" spans="1:9" ht="15">
      <c r="A43" s="31"/>
      <c r="B43" s="31"/>
      <c r="C43" s="31"/>
      <c r="D43" s="31"/>
      <c r="E43" s="31"/>
      <c r="F43" s="31"/>
      <c r="G43" s="31"/>
      <c r="H43" s="31"/>
      <c r="I43" s="31"/>
    </row>
    <row r="44" spans="1:9" ht="15">
      <c r="A44" s="31"/>
      <c r="B44" s="31"/>
      <c r="C44" s="31"/>
      <c r="D44" s="31"/>
      <c r="E44" s="31"/>
      <c r="F44" s="31"/>
      <c r="G44" s="31"/>
      <c r="H44" s="31"/>
      <c r="I44" s="31"/>
    </row>
    <row r="45" spans="1:9" ht="15">
      <c r="A45" s="31"/>
      <c r="B45" s="31"/>
      <c r="C45" s="31"/>
      <c r="D45" s="31"/>
      <c r="E45" s="31"/>
      <c r="F45" s="31"/>
      <c r="G45" s="31"/>
      <c r="H45" s="31"/>
      <c r="I45" s="31"/>
    </row>
    <row r="46" spans="1:9" ht="15.75">
      <c r="A46" s="114" t="s">
        <v>66</v>
      </c>
      <c r="B46" s="114"/>
      <c r="C46" s="31"/>
      <c r="D46" s="114" t="s">
        <v>67</v>
      </c>
      <c r="E46" s="114"/>
      <c r="F46" s="31"/>
      <c r="G46" s="114" t="s">
        <v>65</v>
      </c>
      <c r="H46" s="114"/>
      <c r="I46" s="31"/>
    </row>
    <row r="47" spans="1:9" ht="15">
      <c r="A47" s="31" t="s">
        <v>60</v>
      </c>
      <c r="B47" s="32">
        <f>'Step 3 - Benefit Cost Analysis'!H18</f>
        <v>332034.61280758557</v>
      </c>
      <c r="C47" s="31"/>
      <c r="D47" s="31" t="s">
        <v>60</v>
      </c>
      <c r="E47" s="32">
        <f>'Step 3 - Benefit Cost Analysis'!H30</f>
        <v>488032.51409943041</v>
      </c>
      <c r="F47" s="31"/>
      <c r="G47" s="31" t="s">
        <v>60</v>
      </c>
      <c r="H47" s="32">
        <f>'Step 3 - Benefit Cost Analysis'!H44</f>
        <v>1528802.4366793381</v>
      </c>
      <c r="I47" s="31"/>
    </row>
    <row r="48" spans="1:9" ht="15">
      <c r="A48" s="31" t="s">
        <v>61</v>
      </c>
      <c r="B48" s="33">
        <f>-'Step 3 - Benefit Cost Analysis'!N18</f>
        <v>-188012.11442558706</v>
      </c>
      <c r="C48" s="32"/>
      <c r="D48" s="31" t="s">
        <v>61</v>
      </c>
      <c r="E48" s="33">
        <f>-'Step 3 - Benefit Cost Analysis'!N30</f>
        <v>-26400</v>
      </c>
      <c r="F48" s="31"/>
      <c r="G48" s="31" t="s">
        <v>61</v>
      </c>
      <c r="H48" s="33">
        <f>-'Step 3 - Benefit Cost Analysis'!N44</f>
        <v>-240812.11442558706</v>
      </c>
      <c r="I48" s="31"/>
    </row>
    <row r="49" spans="1:9" ht="15">
      <c r="A49" s="31" t="s">
        <v>63</v>
      </c>
      <c r="B49" s="34">
        <f>SUM(B47:B48)</f>
        <v>144022.49838199851</v>
      </c>
      <c r="C49" s="31"/>
      <c r="D49" s="31" t="s">
        <v>63</v>
      </c>
      <c r="E49" s="34">
        <f>SUM(E47:E48)</f>
        <v>461632.51409943041</v>
      </c>
      <c r="F49" s="31"/>
      <c r="G49" s="31" t="s">
        <v>63</v>
      </c>
      <c r="H49" s="34">
        <f>SUM(H47:H48)</f>
        <v>1287990.3222537511</v>
      </c>
      <c r="I49" s="31"/>
    </row>
    <row r="50" spans="1:9" ht="15">
      <c r="A50" s="31"/>
      <c r="B50" s="31"/>
      <c r="C50" s="31"/>
      <c r="D50" s="31"/>
      <c r="E50" s="31"/>
      <c r="F50" s="31"/>
      <c r="G50" s="31"/>
      <c r="H50" s="31"/>
      <c r="I50" s="31"/>
    </row>
    <row r="51" spans="1:9" ht="15">
      <c r="A51" s="31"/>
      <c r="B51" s="31"/>
      <c r="C51" s="31"/>
      <c r="D51" s="31"/>
      <c r="E51" s="31"/>
      <c r="F51" s="31"/>
      <c r="G51" s="31"/>
      <c r="H51" s="31"/>
      <c r="I51" s="31"/>
    </row>
    <row r="52" spans="1:9" ht="15">
      <c r="A52" s="31"/>
      <c r="B52" s="31"/>
      <c r="C52" s="31"/>
      <c r="D52" s="31"/>
      <c r="E52" s="31"/>
      <c r="F52" s="31"/>
      <c r="G52" s="31"/>
      <c r="H52" s="31"/>
      <c r="I52" s="31"/>
    </row>
    <row r="53" spans="1:9" ht="15">
      <c r="A53" s="31"/>
      <c r="B53" s="31"/>
      <c r="C53" s="31"/>
      <c r="D53" s="31"/>
      <c r="E53" s="31"/>
      <c r="F53" s="31"/>
      <c r="G53" s="31"/>
      <c r="H53" s="31"/>
      <c r="I53" s="31"/>
    </row>
    <row r="54" spans="1:9" ht="15">
      <c r="A54" s="31"/>
      <c r="B54" s="31"/>
      <c r="C54" s="31"/>
      <c r="D54" s="31"/>
      <c r="E54" s="31"/>
      <c r="F54" s="31"/>
      <c r="G54" s="31"/>
      <c r="H54" s="31"/>
      <c r="I54" s="31"/>
    </row>
    <row r="55" spans="1:9" ht="15.75">
      <c r="A55" s="114" t="s">
        <v>64</v>
      </c>
      <c r="B55" s="114"/>
      <c r="C55" s="31"/>
      <c r="D55" s="31"/>
      <c r="E55" s="31"/>
      <c r="F55" s="31"/>
      <c r="G55" s="31"/>
      <c r="H55" s="31"/>
      <c r="I55" s="31"/>
    </row>
    <row r="56" spans="1:9" ht="15">
      <c r="A56" s="31" t="s">
        <v>60</v>
      </c>
      <c r="B56" s="32">
        <f>'Step 3 - Benefit Cost Analysis'!H44</f>
        <v>1528802.4366793381</v>
      </c>
      <c r="C56" s="31"/>
      <c r="D56" s="31"/>
      <c r="E56" s="31"/>
      <c r="F56" s="31"/>
      <c r="G56" s="31"/>
      <c r="H56" s="31"/>
      <c r="I56" s="31"/>
    </row>
    <row r="57" spans="1:9" ht="15">
      <c r="A57" s="31" t="s">
        <v>61</v>
      </c>
      <c r="B57" s="33">
        <f>-'Step 3 - Benefit Cost Analysis'!N44</f>
        <v>-240812.11442558706</v>
      </c>
      <c r="C57" s="31"/>
      <c r="D57" s="31"/>
      <c r="E57" s="31"/>
      <c r="F57" s="31"/>
      <c r="G57" s="31"/>
      <c r="H57" s="31"/>
      <c r="I57" s="31"/>
    </row>
    <row r="58" spans="1:9" ht="15">
      <c r="A58" s="31" t="s">
        <v>63</v>
      </c>
      <c r="B58" s="34">
        <f>SUM(B56:B57)</f>
        <v>1287990.3222537511</v>
      </c>
      <c r="C58" s="31"/>
      <c r="D58" s="31"/>
      <c r="E58" s="31"/>
      <c r="F58" s="31"/>
      <c r="G58" s="31"/>
      <c r="H58" s="31"/>
      <c r="I58" s="31"/>
    </row>
    <row r="59" spans="1:9" ht="15">
      <c r="A59" s="31"/>
      <c r="B59" s="31"/>
      <c r="C59" s="31"/>
      <c r="D59" s="31"/>
      <c r="E59" s="31"/>
      <c r="F59" s="31"/>
      <c r="G59" s="31"/>
      <c r="H59" s="31"/>
      <c r="I59" s="31"/>
    </row>
    <row r="60" spans="1:9" ht="15">
      <c r="A60" s="31"/>
      <c r="B60" s="31"/>
      <c r="C60" s="31"/>
      <c r="D60" s="31"/>
      <c r="E60" s="31"/>
      <c r="F60" s="31"/>
      <c r="G60" s="31"/>
      <c r="H60" s="31"/>
      <c r="I60" s="31"/>
    </row>
    <row r="61" spans="1:9" ht="15">
      <c r="A61" s="31"/>
      <c r="B61" s="31"/>
      <c r="C61" s="31"/>
      <c r="D61" s="31"/>
      <c r="E61" s="31"/>
      <c r="F61" s="31"/>
      <c r="G61" s="31"/>
      <c r="H61" s="31"/>
      <c r="I61" s="31"/>
    </row>
    <row r="62" spans="1:9" ht="15">
      <c r="A62" s="31"/>
      <c r="B62" s="31"/>
      <c r="C62" s="31"/>
      <c r="D62" s="31"/>
      <c r="E62" s="31"/>
      <c r="F62" s="31"/>
      <c r="G62" s="31"/>
      <c r="H62" s="31"/>
      <c r="I62" s="31"/>
    </row>
    <row r="63" spans="1:9" ht="15">
      <c r="A63" s="31"/>
      <c r="B63" s="31"/>
      <c r="C63" s="31"/>
      <c r="D63" s="31"/>
      <c r="E63" s="31"/>
      <c r="F63" s="31"/>
      <c r="G63" s="31"/>
      <c r="H63" s="31"/>
      <c r="I63" s="31"/>
    </row>
    <row r="64" spans="1:9" ht="15">
      <c r="A64" s="31"/>
      <c r="B64" s="31"/>
      <c r="C64" s="31"/>
      <c r="D64" s="31"/>
      <c r="E64" s="31"/>
      <c r="F64" s="31"/>
      <c r="G64" s="31"/>
      <c r="H64" s="31"/>
      <c r="I64" s="31"/>
    </row>
    <row r="65" spans="1:9" ht="15">
      <c r="A65" s="31"/>
      <c r="B65" s="31"/>
      <c r="C65" s="31"/>
      <c r="D65" s="31"/>
      <c r="E65" s="31"/>
      <c r="F65" s="31"/>
      <c r="G65" s="31"/>
      <c r="H65" s="31"/>
      <c r="I65" s="31"/>
    </row>
    <row r="66" spans="1:9" ht="15">
      <c r="A66" s="31"/>
      <c r="B66" s="31"/>
      <c r="C66" s="31"/>
      <c r="D66" s="31"/>
      <c r="E66" s="31"/>
      <c r="F66" s="31"/>
      <c r="G66" s="31"/>
      <c r="H66" s="31"/>
      <c r="I66" s="31"/>
    </row>
    <row r="67" spans="1:9" ht="15">
      <c r="A67" s="31"/>
      <c r="B67" s="31"/>
      <c r="C67" s="31"/>
      <c r="D67" s="31"/>
      <c r="E67" s="31"/>
      <c r="F67" s="31"/>
      <c r="G67" s="31"/>
      <c r="H67" s="31"/>
      <c r="I67" s="31"/>
    </row>
    <row r="68" spans="1:9" ht="15">
      <c r="A68" s="31"/>
      <c r="B68" s="31"/>
      <c r="C68" s="31"/>
      <c r="D68" s="31"/>
      <c r="E68" s="31"/>
      <c r="F68" s="31"/>
      <c r="G68" s="31"/>
      <c r="H68" s="31"/>
      <c r="I68" s="31"/>
    </row>
    <row r="69" spans="1:9" ht="20.25">
      <c r="A69" s="24" t="s">
        <v>68</v>
      </c>
      <c r="B69" s="23"/>
      <c r="C69" s="23"/>
      <c r="D69" s="23"/>
      <c r="E69" s="23"/>
      <c r="F69" s="23"/>
      <c r="G69" s="23"/>
      <c r="H69" s="23"/>
      <c r="I69" s="23"/>
    </row>
    <row r="70" spans="1:9">
      <c r="A70" s="23"/>
      <c r="B70" s="23"/>
      <c r="C70" s="23"/>
      <c r="D70" s="23"/>
      <c r="E70" s="23"/>
      <c r="F70" s="23"/>
      <c r="G70" s="23"/>
      <c r="H70" s="23"/>
      <c r="I70" s="23"/>
    </row>
    <row r="71" spans="1:9" ht="15">
      <c r="A71" s="31" t="s">
        <v>96</v>
      </c>
      <c r="B71" s="31"/>
      <c r="C71" s="31"/>
      <c r="D71" s="31"/>
      <c r="E71" s="31"/>
      <c r="F71" s="31"/>
      <c r="G71" s="31"/>
      <c r="H71" s="31"/>
      <c r="I71" s="31"/>
    </row>
    <row r="72" spans="1:9" ht="15">
      <c r="A72" s="31"/>
      <c r="B72" s="31"/>
      <c r="C72" s="31"/>
      <c r="D72" s="31"/>
      <c r="E72" s="31"/>
      <c r="F72" s="31"/>
      <c r="G72" s="31"/>
      <c r="H72" s="31"/>
      <c r="I72" s="31"/>
    </row>
    <row r="73" spans="1:9" ht="15">
      <c r="A73" s="31"/>
      <c r="B73" s="31"/>
      <c r="C73" s="31"/>
      <c r="D73" s="31"/>
      <c r="E73" s="31"/>
      <c r="F73" s="31"/>
      <c r="G73" s="31"/>
      <c r="H73" s="31"/>
      <c r="I73" s="31"/>
    </row>
    <row r="74" spans="1:9" ht="15">
      <c r="A74" s="31"/>
      <c r="B74" s="31"/>
      <c r="C74" s="31"/>
      <c r="D74" s="31"/>
      <c r="E74" s="31"/>
      <c r="F74" s="31"/>
      <c r="G74" s="31"/>
      <c r="H74" s="31"/>
      <c r="I74" s="31"/>
    </row>
    <row r="75" spans="1:9" ht="15">
      <c r="A75" s="31"/>
      <c r="B75" s="31"/>
      <c r="C75" s="31"/>
      <c r="D75" s="31"/>
      <c r="E75" s="31"/>
      <c r="F75" s="31"/>
      <c r="G75" s="31"/>
      <c r="H75" s="31"/>
      <c r="I75" s="31"/>
    </row>
    <row r="76" spans="1:9" ht="15">
      <c r="A76" s="31"/>
      <c r="B76" s="31"/>
      <c r="C76" s="31"/>
      <c r="D76" s="31"/>
      <c r="E76" s="31"/>
      <c r="F76" s="31"/>
      <c r="G76" s="31"/>
      <c r="H76" s="31"/>
      <c r="I76" s="31"/>
    </row>
    <row r="77" spans="1:9" ht="15">
      <c r="A77" s="31"/>
      <c r="B77" s="31"/>
      <c r="C77" s="31"/>
      <c r="D77" s="31"/>
      <c r="E77" s="31"/>
      <c r="F77" s="31"/>
      <c r="G77" s="31"/>
      <c r="H77" s="31"/>
      <c r="I77" s="31"/>
    </row>
    <row r="78" spans="1:9" ht="15">
      <c r="A78" s="31"/>
      <c r="B78" s="31"/>
      <c r="C78" s="31"/>
      <c r="D78" s="31"/>
      <c r="E78" s="31"/>
      <c r="F78" s="31"/>
      <c r="G78" s="31"/>
      <c r="H78" s="31"/>
      <c r="I78" s="31"/>
    </row>
    <row r="79" spans="1:9" ht="15">
      <c r="A79" s="31"/>
      <c r="B79" s="31"/>
      <c r="C79" s="31"/>
      <c r="D79" s="31"/>
      <c r="E79" s="31"/>
      <c r="F79" s="31"/>
      <c r="G79" s="31"/>
      <c r="H79" s="31"/>
      <c r="I79" s="31"/>
    </row>
    <row r="80" spans="1:9" ht="15">
      <c r="A80" s="31"/>
      <c r="B80" s="31"/>
      <c r="C80" s="31"/>
      <c r="D80" s="31"/>
      <c r="E80" s="31"/>
      <c r="F80" s="31"/>
      <c r="G80" s="31"/>
      <c r="H80" s="31"/>
      <c r="I80" s="31"/>
    </row>
    <row r="81" spans="1:9" ht="15">
      <c r="A81" s="31"/>
      <c r="B81" s="31"/>
      <c r="C81" s="31"/>
      <c r="D81" s="31"/>
      <c r="E81" s="31"/>
      <c r="F81" s="31"/>
      <c r="G81" s="31"/>
      <c r="H81" s="31"/>
      <c r="I81" s="31"/>
    </row>
    <row r="82" spans="1:9" ht="15">
      <c r="A82" s="31"/>
      <c r="B82" s="31"/>
      <c r="C82" s="31"/>
      <c r="D82" s="31"/>
      <c r="E82" s="31"/>
      <c r="F82" s="31"/>
      <c r="G82" s="31"/>
      <c r="H82" s="31"/>
      <c r="I82" s="31"/>
    </row>
    <row r="83" spans="1:9" ht="15">
      <c r="A83" s="31"/>
      <c r="B83" s="31"/>
      <c r="C83" s="31"/>
      <c r="D83" s="31"/>
      <c r="E83" s="31"/>
      <c r="F83" s="31"/>
      <c r="G83" s="31"/>
      <c r="H83" s="31"/>
      <c r="I83" s="31"/>
    </row>
    <row r="84" spans="1:9" ht="15">
      <c r="A84" s="31"/>
      <c r="B84" s="31"/>
      <c r="C84" s="31"/>
      <c r="D84" s="31"/>
      <c r="E84" s="31"/>
      <c r="F84" s="31"/>
      <c r="G84" s="31"/>
      <c r="H84" s="31"/>
      <c r="I84" s="31"/>
    </row>
    <row r="85" spans="1:9" ht="15">
      <c r="A85" s="31"/>
      <c r="B85" s="31"/>
      <c r="C85" s="31"/>
      <c r="D85" s="31"/>
      <c r="E85" s="31"/>
      <c r="F85" s="31"/>
      <c r="G85" s="31"/>
      <c r="H85" s="31"/>
      <c r="I85" s="31"/>
    </row>
    <row r="86" spans="1:9" ht="15">
      <c r="A86" s="31"/>
      <c r="B86" s="31"/>
      <c r="C86" s="31"/>
      <c r="D86" s="31"/>
      <c r="E86" s="31"/>
      <c r="F86" s="31"/>
      <c r="G86" s="31"/>
      <c r="H86" s="31"/>
      <c r="I86" s="31"/>
    </row>
    <row r="87" spans="1:9" ht="15">
      <c r="A87" s="31"/>
      <c r="B87" s="31"/>
      <c r="C87" s="31"/>
      <c r="D87" s="31"/>
      <c r="E87" s="31"/>
      <c r="F87" s="31"/>
      <c r="G87" s="31"/>
      <c r="H87" s="31"/>
      <c r="I87" s="31"/>
    </row>
    <row r="88" spans="1:9" ht="15">
      <c r="A88" s="31"/>
      <c r="B88" s="31"/>
      <c r="C88" s="31"/>
      <c r="D88" s="31"/>
      <c r="E88" s="31"/>
      <c r="F88" s="31"/>
      <c r="G88" s="31"/>
      <c r="H88" s="31"/>
      <c r="I88" s="31"/>
    </row>
    <row r="89" spans="1:9" ht="15">
      <c r="A89" s="31"/>
      <c r="B89" s="31"/>
      <c r="C89" s="31"/>
      <c r="D89" s="31"/>
      <c r="E89" s="31"/>
      <c r="F89" s="31"/>
      <c r="G89" s="31"/>
      <c r="H89" s="31"/>
      <c r="I89" s="31"/>
    </row>
    <row r="90" spans="1:9" ht="15">
      <c r="A90" s="31"/>
      <c r="B90" s="31"/>
      <c r="C90" s="31"/>
      <c r="D90" s="31"/>
      <c r="E90" s="31"/>
      <c r="F90" s="31"/>
      <c r="G90" s="31"/>
      <c r="H90" s="31"/>
      <c r="I90" s="31"/>
    </row>
    <row r="91" spans="1:9" ht="15">
      <c r="A91" s="31"/>
      <c r="B91" s="31"/>
      <c r="C91" s="31"/>
      <c r="D91" s="31"/>
      <c r="E91" s="31"/>
      <c r="F91" s="31"/>
      <c r="G91" s="31"/>
      <c r="H91" s="31"/>
      <c r="I91" s="31"/>
    </row>
    <row r="92" spans="1:9" ht="15">
      <c r="A92" s="31"/>
      <c r="B92" s="31"/>
      <c r="C92" s="31"/>
      <c r="D92" s="31"/>
      <c r="E92" s="31"/>
      <c r="F92" s="31"/>
      <c r="G92" s="31"/>
      <c r="H92" s="31"/>
      <c r="I92" s="31"/>
    </row>
  </sheetData>
  <sheetProtection algorithmName="SHA-512" hashValue="tgHs5C+9jueIaafRjOho8OPpSX0XZoew8F0oDX9R0R+KHsD46bxwHeXxT2fCQnUOwGRyCuB0WIprdNlr2NecFQ==" saltValue="L/iCbjgIvuze9EZMCJhl6g==" spinCount="100000" sheet="1" objects="1" scenarios="1"/>
  <mergeCells count="9">
    <mergeCell ref="A55:B55"/>
    <mergeCell ref="A2:I2"/>
    <mergeCell ref="A1:I1"/>
    <mergeCell ref="C11:D11"/>
    <mergeCell ref="G46:H46"/>
    <mergeCell ref="D46:E46"/>
    <mergeCell ref="A46:B46"/>
    <mergeCell ref="A4:C4"/>
    <mergeCell ref="D4:I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6"/>
  <sheetViews>
    <sheetView workbookViewId="0">
      <selection activeCell="Q2" sqref="Q2"/>
    </sheetView>
  </sheetViews>
  <sheetFormatPr defaultColWidth="8.85546875" defaultRowHeight="14.25"/>
  <cols>
    <col min="1" max="1" width="19.28515625" style="1" bestFit="1" customWidth="1"/>
    <col min="2" max="2" width="3.28515625" style="1" customWidth="1"/>
    <col min="3" max="3" width="14.28515625" style="1" bestFit="1" customWidth="1"/>
    <col min="4" max="5" width="15.42578125" style="1" customWidth="1"/>
    <col min="6" max="6" width="1.7109375" style="1" customWidth="1"/>
    <col min="7" max="7" width="14" style="1" customWidth="1"/>
    <col min="8" max="8" width="18.42578125" style="1" customWidth="1"/>
    <col min="9" max="9" width="2.140625" style="1" customWidth="1"/>
    <col min="10" max="10" width="14.28515625" style="1" bestFit="1" customWidth="1"/>
    <col min="11" max="11" width="13" style="1" customWidth="1"/>
    <col min="12" max="12" width="1.7109375" style="1" customWidth="1"/>
    <col min="13" max="13" width="14.42578125" style="1" customWidth="1"/>
    <col min="14" max="14" width="18.85546875" style="1" customWidth="1"/>
    <col min="15" max="15" width="1.85546875" style="1" customWidth="1"/>
    <col min="16" max="16" width="4.85546875" style="1" customWidth="1"/>
    <col min="17" max="17" width="23" style="1" customWidth="1"/>
    <col min="18" max="16384" width="8.85546875" style="1"/>
  </cols>
  <sheetData>
    <row r="1" spans="1:21" ht="95.1" customHeight="1">
      <c r="A1" s="94" t="s">
        <v>74</v>
      </c>
      <c r="B1" s="94"/>
      <c r="C1" s="94"/>
      <c r="D1" s="94"/>
      <c r="E1" s="94"/>
      <c r="F1" s="94"/>
      <c r="G1" s="94"/>
      <c r="H1" s="94"/>
      <c r="I1" s="94"/>
      <c r="J1" s="94"/>
      <c r="K1" s="94"/>
      <c r="L1" s="94"/>
      <c r="M1" s="94"/>
      <c r="N1" s="94"/>
      <c r="O1" s="23"/>
      <c r="P1" s="23"/>
    </row>
    <row r="2" spans="1:21" ht="72" customHeight="1">
      <c r="A2" s="120" t="s">
        <v>69</v>
      </c>
      <c r="B2" s="121"/>
      <c r="C2" s="121"/>
      <c r="D2" s="99" t="s">
        <v>76</v>
      </c>
      <c r="E2" s="99"/>
      <c r="F2" s="99"/>
      <c r="G2" s="99"/>
      <c r="H2" s="99"/>
      <c r="I2" s="99"/>
      <c r="J2" s="99"/>
      <c r="K2" s="99"/>
      <c r="L2" s="99"/>
      <c r="M2" s="99"/>
      <c r="N2" s="99"/>
      <c r="O2" s="23"/>
      <c r="P2" s="23"/>
    </row>
    <row r="3" spans="1:21" ht="5.0999999999999996" customHeight="1">
      <c r="A3" s="83"/>
      <c r="B3" s="83"/>
      <c r="C3" s="83"/>
      <c r="D3" s="83"/>
      <c r="E3" s="83"/>
      <c r="F3" s="83"/>
      <c r="G3" s="83"/>
      <c r="H3" s="83"/>
      <c r="I3" s="83"/>
      <c r="J3" s="83"/>
      <c r="K3" s="83"/>
      <c r="L3" s="83"/>
      <c r="M3" s="83"/>
      <c r="N3" s="83"/>
      <c r="O3" s="83"/>
      <c r="P3" s="23"/>
      <c r="U3" s="1" t="s">
        <v>57</v>
      </c>
    </row>
    <row r="4" spans="1:21" ht="23.1" customHeight="1">
      <c r="A4" s="120"/>
      <c r="B4" s="121"/>
      <c r="C4" s="121"/>
      <c r="D4" s="99" t="s">
        <v>57</v>
      </c>
      <c r="E4" s="99"/>
      <c r="F4" s="99"/>
      <c r="G4" s="99"/>
      <c r="H4" s="99"/>
      <c r="I4" s="99"/>
      <c r="J4" s="99"/>
      <c r="K4" s="99"/>
      <c r="L4" s="99"/>
      <c r="M4" s="99"/>
      <c r="N4" s="99"/>
      <c r="O4" s="23"/>
      <c r="P4" s="23"/>
    </row>
    <row r="5" spans="1:21" ht="33" customHeight="1" thickBot="1">
      <c r="A5" s="31"/>
      <c r="B5" s="31"/>
      <c r="C5" s="31"/>
      <c r="D5" s="31"/>
      <c r="E5" s="35"/>
      <c r="F5" s="31"/>
      <c r="G5" s="31"/>
      <c r="H5" s="31"/>
      <c r="I5" s="31"/>
      <c r="J5" s="31"/>
      <c r="K5" s="31"/>
      <c r="L5" s="31"/>
      <c r="M5" s="31"/>
      <c r="N5" s="31"/>
      <c r="O5" s="23"/>
      <c r="P5" s="23"/>
    </row>
    <row r="6" spans="1:21" ht="16.5" thickBot="1">
      <c r="A6" s="31"/>
      <c r="B6" s="31"/>
      <c r="C6" s="122" t="s">
        <v>39</v>
      </c>
      <c r="D6" s="123"/>
      <c r="E6" s="124"/>
      <c r="F6" s="36"/>
      <c r="G6" s="36"/>
      <c r="H6" s="36"/>
      <c r="I6" s="31"/>
      <c r="J6" s="125" t="s">
        <v>3</v>
      </c>
      <c r="K6" s="126"/>
      <c r="L6" s="36"/>
      <c r="M6" s="36"/>
      <c r="N6" s="36"/>
      <c r="O6" s="23"/>
      <c r="P6" s="23"/>
    </row>
    <row r="7" spans="1:21" s="42" customFormat="1" ht="79.5" customHeight="1" thickBot="1">
      <c r="A7" s="64" t="s">
        <v>2</v>
      </c>
      <c r="B7" s="37"/>
      <c r="C7" s="38" t="s">
        <v>8</v>
      </c>
      <c r="D7" s="38" t="s">
        <v>27</v>
      </c>
      <c r="E7" s="38" t="s">
        <v>17</v>
      </c>
      <c r="F7" s="39"/>
      <c r="G7" s="40" t="s">
        <v>4</v>
      </c>
      <c r="H7" s="63" t="s">
        <v>6</v>
      </c>
      <c r="I7" s="37"/>
      <c r="J7" s="41" t="s">
        <v>20</v>
      </c>
      <c r="K7" s="41" t="s">
        <v>19</v>
      </c>
      <c r="L7" s="39"/>
      <c r="M7" s="40" t="s">
        <v>5</v>
      </c>
      <c r="N7" s="63" t="s">
        <v>7</v>
      </c>
      <c r="O7" s="51"/>
      <c r="P7" s="51"/>
    </row>
    <row r="8" spans="1:21" ht="15.75">
      <c r="A8" s="65">
        <f>'Step 1 - Assumptions'!C6</f>
        <v>2018</v>
      </c>
      <c r="B8" s="31"/>
      <c r="C8" s="43">
        <f>'Step 1 - Assumptions'!C19*12</f>
        <v>24000</v>
      </c>
      <c r="D8" s="43">
        <f>'Step 1 - Assumptions'!C16</f>
        <v>120000</v>
      </c>
      <c r="E8" s="44">
        <v>0</v>
      </c>
      <c r="F8" s="44"/>
      <c r="G8" s="43">
        <f>C8+E8</f>
        <v>24000</v>
      </c>
      <c r="H8" s="71">
        <f>G8/(1+'Step 1 - Assumptions'!$C$26)^(A8-'Step 1 - Assumptions'!$C$6)</f>
        <v>24000</v>
      </c>
      <c r="I8" s="31"/>
      <c r="J8" s="45">
        <f>IF(AND('Step 1 - Assumptions'!$C$9&gt;0,'Step 1 - Assumptions'!$C$10&gt;=1),'Step 1 - Assumptions'!C8+('Step 1 - Assumptions'!$C$15*'Step 1 - Assumptions'!$C$13)/'Step 1 - Assumptions'!$C$10,'Step 1 - Assumptions'!$C$8*('Step 1 - Assumptions'!$C$8='Step 1 - Assumptions'!$C$7))</f>
        <v>72322.422885117412</v>
      </c>
      <c r="K8" s="43">
        <f>'Step 1 - Assumptions'!C17</f>
        <v>2640</v>
      </c>
      <c r="L8" s="44"/>
      <c r="M8" s="43">
        <f>K8+J8</f>
        <v>74962.422885117412</v>
      </c>
      <c r="N8" s="71">
        <f>M8/(1+'Step 1 - Assumptions'!$C$26)^(A8-'Step 1 - Assumptions'!$C$6)</f>
        <v>74962.422885117412</v>
      </c>
      <c r="O8" s="23"/>
      <c r="P8" s="23"/>
    </row>
    <row r="9" spans="1:21" ht="15.75">
      <c r="A9" s="66">
        <f>A8+1</f>
        <v>2019</v>
      </c>
      <c r="B9" s="31"/>
      <c r="C9" s="44">
        <f>C8+(C8*'Step 1 - Assumptions'!$C$20)</f>
        <v>24914.400000000001</v>
      </c>
      <c r="D9" s="43">
        <f>$D$8+E9</f>
        <v>124440</v>
      </c>
      <c r="E9" s="43">
        <f>'Step 1 - Assumptions'!C16*'Step 1 - Assumptions'!C18</f>
        <v>4440</v>
      </c>
      <c r="F9" s="44"/>
      <c r="G9" s="43">
        <f t="shared" ref="G9:G41" si="0">C9+E9</f>
        <v>29354.400000000001</v>
      </c>
      <c r="H9" s="71">
        <f>G9/(1+'Step 1 - Assumptions'!$C$26)^(A9-'Step 1 - Assumptions'!$C$6)</f>
        <v>29354.400000000001</v>
      </c>
      <c r="I9" s="31"/>
      <c r="J9" s="46">
        <f>IF(AND('Step 1 - Assumptions'!$C$9&gt;0,'Step 1 - Assumptions'!$C$10&gt;=2),('Step 1 - Assumptions'!$C$15*'Step 1 - Assumptions'!$C$13)/'Step 1 - Assumptions'!$C$10,"n/a")</f>
        <v>22322.422885117405</v>
      </c>
      <c r="K9" s="47">
        <f>$K$8</f>
        <v>2640</v>
      </c>
      <c r="L9" s="44"/>
      <c r="M9" s="43">
        <f>IF(ISNUMBER(J9),K9+J9,K9)</f>
        <v>24962.422885117405</v>
      </c>
      <c r="N9" s="71">
        <f>M9/(1+'Step 1 - Assumptions'!$C$26)^(A9-'Step 1 - Assumptions'!$C$6)</f>
        <v>24962.422885117405</v>
      </c>
      <c r="O9" s="23"/>
      <c r="P9" s="23"/>
    </row>
    <row r="10" spans="1:21" ht="15.75">
      <c r="A10" s="66">
        <f t="shared" ref="A10:A17" si="1">A9+1</f>
        <v>2020</v>
      </c>
      <c r="B10" s="31"/>
      <c r="C10" s="44">
        <f>C9+(C9*'Step 1 - Assumptions'!$C$20)</f>
        <v>25863.638640000001</v>
      </c>
      <c r="D10" s="43">
        <f>D9+E10</f>
        <v>129044.28</v>
      </c>
      <c r="E10" s="44">
        <f>E9+(E9*'Step 1 - Assumptions'!$C$18)</f>
        <v>4604.28</v>
      </c>
      <c r="F10" s="44"/>
      <c r="G10" s="43">
        <f t="shared" si="0"/>
        <v>30467.91864</v>
      </c>
      <c r="H10" s="71">
        <f>G10/(1+'Step 1 - Assumptions'!$C$26)^(A10-'Step 1 - Assumptions'!$C$6)</f>
        <v>30467.91864</v>
      </c>
      <c r="I10" s="31"/>
      <c r="J10" s="46">
        <f>IF(AND('Step 1 - Assumptions'!$C$9&gt;0,'Step 1 - Assumptions'!$C$10&gt;=3),('Step 1 - Assumptions'!$C$15*'Step 1 - Assumptions'!$C$13)/'Step 1 - Assumptions'!$C$10,"n/a")</f>
        <v>22322.422885117405</v>
      </c>
      <c r="K10" s="47">
        <f t="shared" ref="K10:K41" si="2">$K$8</f>
        <v>2640</v>
      </c>
      <c r="L10" s="44"/>
      <c r="M10" s="43">
        <f t="shared" ref="M10:M17" si="3">IF(ISNUMBER(J10),K10+J10,K10)</f>
        <v>24962.422885117405</v>
      </c>
      <c r="N10" s="71">
        <f>M10/(1+'Step 1 - Assumptions'!$C$26)^(A10-'Step 1 - Assumptions'!$C$6)</f>
        <v>24962.422885117405</v>
      </c>
      <c r="O10" s="23"/>
      <c r="P10" s="23"/>
    </row>
    <row r="11" spans="1:21" ht="15.75">
      <c r="A11" s="66">
        <f t="shared" si="1"/>
        <v>2021</v>
      </c>
      <c r="B11" s="31"/>
      <c r="C11" s="44">
        <f>C10+(C10*'Step 1 - Assumptions'!$C$20)</f>
        <v>26849.043272184001</v>
      </c>
      <c r="D11" s="43">
        <f t="shared" ref="D11:D16" si="4">D10+E11</f>
        <v>133818.91836000001</v>
      </c>
      <c r="E11" s="44">
        <f>E10+(E10*'Step 1 - Assumptions'!$C$18)</f>
        <v>4774.6383599999999</v>
      </c>
      <c r="F11" s="44"/>
      <c r="G11" s="43">
        <f t="shared" si="0"/>
        <v>31623.681632184002</v>
      </c>
      <c r="H11" s="71">
        <f>G11/(1+'Step 1 - Assumptions'!$C$26)^(A11-'Step 1 - Assumptions'!$C$6)</f>
        <v>31623.681632184002</v>
      </c>
      <c r="I11" s="31"/>
      <c r="J11" s="46">
        <f>IF(AND('Step 1 - Assumptions'!$C$9&gt;0,'Step 1 - Assumptions'!$C$10&gt;=4),('Step 1 - Assumptions'!$C$15*'Step 1 - Assumptions'!$C$13)/'Step 1 - Assumptions'!$C$10,"n/a")</f>
        <v>22322.422885117405</v>
      </c>
      <c r="K11" s="47">
        <f t="shared" si="2"/>
        <v>2640</v>
      </c>
      <c r="L11" s="44"/>
      <c r="M11" s="43">
        <f t="shared" si="3"/>
        <v>24962.422885117405</v>
      </c>
      <c r="N11" s="71">
        <f>M11/(1+'Step 1 - Assumptions'!$C$26)^(A11-'Step 1 - Assumptions'!$C$6)</f>
        <v>24962.422885117405</v>
      </c>
      <c r="O11" s="23"/>
      <c r="P11" s="23"/>
    </row>
    <row r="12" spans="1:21" ht="15.75">
      <c r="A12" s="66">
        <f t="shared" si="1"/>
        <v>2022</v>
      </c>
      <c r="B12" s="31"/>
      <c r="C12" s="44">
        <f>C11+(C11*'Step 1 - Assumptions'!$C$20)</f>
        <v>27871.991820854211</v>
      </c>
      <c r="D12" s="43">
        <f t="shared" si="4"/>
        <v>138770.21833932001</v>
      </c>
      <c r="E12" s="44">
        <f>E11+(E11*'Step 1 - Assumptions'!$C$18)</f>
        <v>4951.2999793199997</v>
      </c>
      <c r="F12" s="44"/>
      <c r="G12" s="43">
        <f t="shared" si="0"/>
        <v>32823.291800174207</v>
      </c>
      <c r="H12" s="71">
        <f>G12/(1+'Step 1 - Assumptions'!$C$26)^(A12-'Step 1 - Assumptions'!$C$6)</f>
        <v>32823.291800174207</v>
      </c>
      <c r="I12" s="31"/>
      <c r="J12" s="46">
        <f>IF(AND('Step 1 - Assumptions'!$C$9&gt;0,'Step 1 - Assumptions'!$C$10&gt;=5),('Step 1 - Assumptions'!$C$15*'Step 1 - Assumptions'!$C$13)/'Step 1 - Assumptions'!$C$10,"n/a")</f>
        <v>22322.422885117405</v>
      </c>
      <c r="K12" s="47">
        <f t="shared" si="2"/>
        <v>2640</v>
      </c>
      <c r="L12" s="44"/>
      <c r="M12" s="43">
        <f t="shared" si="3"/>
        <v>24962.422885117405</v>
      </c>
      <c r="N12" s="71">
        <f>M12/(1+'Step 1 - Assumptions'!$C$26)^(A12-'Step 1 - Assumptions'!$C$6)</f>
        <v>24962.422885117405</v>
      </c>
      <c r="O12" s="23"/>
      <c r="P12" s="23"/>
    </row>
    <row r="13" spans="1:21" ht="15.75">
      <c r="A13" s="66">
        <f t="shared" si="1"/>
        <v>2023</v>
      </c>
      <c r="B13" s="31"/>
      <c r="C13" s="44">
        <f>C12+(C12*'Step 1 - Assumptions'!$C$20)</f>
        <v>28933.914709228757</v>
      </c>
      <c r="D13" s="43">
        <f t="shared" si="4"/>
        <v>143904.71641787485</v>
      </c>
      <c r="E13" s="44">
        <f>E12+(E12*'Step 1 - Assumptions'!$C$18)</f>
        <v>5134.4980785548396</v>
      </c>
      <c r="F13" s="44"/>
      <c r="G13" s="43">
        <f t="shared" si="0"/>
        <v>34068.4127877836</v>
      </c>
      <c r="H13" s="71">
        <f>G13/(1+'Step 1 - Assumptions'!$C$26)^(A13-'Step 1 - Assumptions'!$C$6)</f>
        <v>34068.4127877836</v>
      </c>
      <c r="I13" s="31"/>
      <c r="J13" s="46" t="str">
        <f>IF(AND('Step 1 - Assumptions'!$C$9&gt;0,'Step 1 - Assumptions'!$C$10&gt;=6),('Step 1 - Assumptions'!$C$15*'Step 1 - Assumptions'!$C$13)/'Step 1 - Assumptions'!$C$10,"n/a")</f>
        <v>n/a</v>
      </c>
      <c r="K13" s="47">
        <f t="shared" si="2"/>
        <v>2640</v>
      </c>
      <c r="L13" s="44"/>
      <c r="M13" s="43">
        <f t="shared" si="3"/>
        <v>2640</v>
      </c>
      <c r="N13" s="71">
        <f>M13/(1+'Step 1 - Assumptions'!$C$26)^(A13-'Step 1 - Assumptions'!$C$6)</f>
        <v>2640</v>
      </c>
      <c r="O13" s="23"/>
      <c r="P13" s="23"/>
    </row>
    <row r="14" spans="1:21" ht="15.75">
      <c r="A14" s="66">
        <f t="shared" si="1"/>
        <v>2024</v>
      </c>
      <c r="B14" s="31"/>
      <c r="C14" s="44">
        <f>C13+(C13*'Step 1 - Assumptions'!$C$20)</f>
        <v>30036.296859650371</v>
      </c>
      <c r="D14" s="43">
        <f t="shared" si="4"/>
        <v>149229.19092533621</v>
      </c>
      <c r="E14" s="44">
        <f>E13+(E13*'Step 1 - Assumptions'!$C$18)</f>
        <v>5324.4745074613684</v>
      </c>
      <c r="F14" s="44"/>
      <c r="G14" s="43">
        <f t="shared" si="0"/>
        <v>35360.771367111738</v>
      </c>
      <c r="H14" s="71">
        <f>G14/(1+'Step 1 - Assumptions'!$C$26)^(A14-'Step 1 - Assumptions'!$C$6)</f>
        <v>35360.771367111738</v>
      </c>
      <c r="I14" s="31"/>
      <c r="J14" s="46" t="str">
        <f>IF(AND('Step 1 - Assumptions'!$C$9&gt;0,'Step 1 - Assumptions'!$C$10&gt;=7),('Step 1 - Assumptions'!$C$15*'Step 1 - Assumptions'!$C$13)/'Step 1 - Assumptions'!$C$10,"n/a")</f>
        <v>n/a</v>
      </c>
      <c r="K14" s="47">
        <f t="shared" si="2"/>
        <v>2640</v>
      </c>
      <c r="L14" s="44"/>
      <c r="M14" s="43">
        <f t="shared" si="3"/>
        <v>2640</v>
      </c>
      <c r="N14" s="71">
        <f>M14/(1+'Step 1 - Assumptions'!$C$26)^(A14-'Step 1 - Assumptions'!$C$6)</f>
        <v>2640</v>
      </c>
      <c r="O14" s="23"/>
      <c r="P14" s="23"/>
    </row>
    <row r="15" spans="1:21" ht="15.75">
      <c r="A15" s="66">
        <f t="shared" si="1"/>
        <v>2025</v>
      </c>
      <c r="B15" s="31"/>
      <c r="C15" s="44">
        <f>C14+(C14*'Step 1 - Assumptions'!$C$20)</f>
        <v>31180.679770003051</v>
      </c>
      <c r="D15" s="43">
        <f t="shared" si="4"/>
        <v>154750.67098957364</v>
      </c>
      <c r="E15" s="44">
        <f>E14+(E14*'Step 1 - Assumptions'!$C$18)</f>
        <v>5521.4800642374394</v>
      </c>
      <c r="F15" s="44"/>
      <c r="G15" s="43">
        <f t="shared" si="0"/>
        <v>36702.15983424049</v>
      </c>
      <c r="H15" s="71">
        <f>G15/(1+'Step 1 - Assumptions'!$C$26)^(A15-'Step 1 - Assumptions'!$C$6)</f>
        <v>36702.15983424049</v>
      </c>
      <c r="I15" s="31"/>
      <c r="J15" s="46" t="str">
        <f>IF(AND('Step 1 - Assumptions'!$C$9&gt;0,'Step 1 - Assumptions'!$C$10&gt;=8),('Step 1 - Assumptions'!$C$15*'Step 1 - Assumptions'!$C$13)/'Step 1 - Assumptions'!$C$10,"n/a")</f>
        <v>n/a</v>
      </c>
      <c r="K15" s="47">
        <f t="shared" si="2"/>
        <v>2640</v>
      </c>
      <c r="L15" s="44"/>
      <c r="M15" s="43">
        <f t="shared" si="3"/>
        <v>2640</v>
      </c>
      <c r="N15" s="71">
        <f>M15/(1+'Step 1 - Assumptions'!$C$26)^(A15-'Step 1 - Assumptions'!$C$6)</f>
        <v>2640</v>
      </c>
      <c r="O15" s="23"/>
      <c r="P15" s="23"/>
    </row>
    <row r="16" spans="1:21" ht="15.75">
      <c r="A16" s="66">
        <f t="shared" si="1"/>
        <v>2026</v>
      </c>
      <c r="B16" s="31"/>
      <c r="C16" s="44">
        <f>C15+(C15*'Step 1 - Assumptions'!$C$20)</f>
        <v>32368.663669240166</v>
      </c>
      <c r="D16" s="43">
        <f t="shared" si="4"/>
        <v>160476.44581618786</v>
      </c>
      <c r="E16" s="44">
        <f>E15+(E15*'Step 1 - Assumptions'!$C$18)</f>
        <v>5725.7748266142244</v>
      </c>
      <c r="F16" s="44"/>
      <c r="G16" s="43">
        <f t="shared" si="0"/>
        <v>38094.438495854389</v>
      </c>
      <c r="H16" s="71">
        <f>G16/(1+'Step 1 - Assumptions'!$C$26)^(A16-'Step 1 - Assumptions'!$C$6)</f>
        <v>38094.438495854389</v>
      </c>
      <c r="I16" s="31"/>
      <c r="J16" s="46" t="str">
        <f>IF(AND('Step 1 - Assumptions'!$C$9&gt;0,'Step 1 - Assumptions'!$C$10&gt;=9),('Step 1 - Assumptions'!$C$15*'Step 1 - Assumptions'!$C$13)/'Step 1 - Assumptions'!$C$10,"n/a")</f>
        <v>n/a</v>
      </c>
      <c r="K16" s="47">
        <f t="shared" si="2"/>
        <v>2640</v>
      </c>
      <c r="L16" s="44"/>
      <c r="M16" s="43">
        <f t="shared" si="3"/>
        <v>2640</v>
      </c>
      <c r="N16" s="71">
        <f>M16/(1+'Step 1 - Assumptions'!$C$26)^(A16-'Step 1 - Assumptions'!$C$6)</f>
        <v>2640</v>
      </c>
      <c r="O16" s="23"/>
      <c r="P16" s="23"/>
    </row>
    <row r="17" spans="1:16" ht="15.75">
      <c r="A17" s="66">
        <f t="shared" si="1"/>
        <v>2027</v>
      </c>
      <c r="B17" s="31"/>
      <c r="C17" s="44">
        <f>C16+(C16*'Step 1 - Assumptions'!$C$20)</f>
        <v>33601.909755038214</v>
      </c>
      <c r="D17" s="43">
        <f>D16+E17</f>
        <v>166414.07431138679</v>
      </c>
      <c r="E17" s="44">
        <f>E16+(E16*'Step 1 - Assumptions'!$C$18)</f>
        <v>5937.628495198951</v>
      </c>
      <c r="F17" s="44"/>
      <c r="G17" s="43">
        <f t="shared" si="0"/>
        <v>39539.538250237165</v>
      </c>
      <c r="H17" s="71">
        <f>G17/(1+'Step 1 - Assumptions'!$C$26)^(A17-'Step 1 - Assumptions'!$C$6)</f>
        <v>39539.538250237165</v>
      </c>
      <c r="I17" s="31"/>
      <c r="J17" s="46" t="str">
        <f>IF(AND('Step 1 - Assumptions'!$C$9&gt;0,'Step 1 - Assumptions'!$C$10&gt;=10),('Step 1 - Assumptions'!$C$15*'Step 1 - Assumptions'!$C$13)/'Step 1 - Assumptions'!$C$10,"n/a")</f>
        <v>n/a</v>
      </c>
      <c r="K17" s="47">
        <f t="shared" si="2"/>
        <v>2640</v>
      </c>
      <c r="L17" s="44"/>
      <c r="M17" s="43">
        <f t="shared" si="3"/>
        <v>2640</v>
      </c>
      <c r="N17" s="71">
        <f>M17/(1+'Step 1 - Assumptions'!$C$26)^(A17-'Step 1 - Assumptions'!$C$6)</f>
        <v>2640</v>
      </c>
      <c r="O17" s="23"/>
      <c r="P17" s="23"/>
    </row>
    <row r="18" spans="1:16" ht="15.75">
      <c r="A18" s="67" t="s">
        <v>21</v>
      </c>
      <c r="B18" s="31"/>
      <c r="C18" s="31"/>
      <c r="D18" s="31"/>
      <c r="E18" s="31"/>
      <c r="F18" s="31"/>
      <c r="G18" s="31"/>
      <c r="H18" s="71">
        <f>SUM(H8:H17)</f>
        <v>332034.61280758557</v>
      </c>
      <c r="I18" s="31"/>
      <c r="J18" s="48"/>
      <c r="K18" s="49"/>
      <c r="L18" s="31"/>
      <c r="M18" s="31"/>
      <c r="N18" s="71">
        <f>SUM(N8:N17)</f>
        <v>188012.11442558706</v>
      </c>
      <c r="O18" s="23"/>
      <c r="P18" s="23"/>
    </row>
    <row r="19" spans="1:16" ht="13.5" customHeight="1">
      <c r="A19" s="31"/>
      <c r="B19" s="31"/>
      <c r="C19" s="31"/>
      <c r="D19" s="31"/>
      <c r="E19" s="31"/>
      <c r="F19" s="31"/>
      <c r="G19" s="31"/>
      <c r="H19" s="31"/>
      <c r="I19" s="31"/>
      <c r="J19" s="48"/>
      <c r="K19" s="49"/>
      <c r="L19" s="31"/>
      <c r="M19" s="31"/>
      <c r="N19" s="31"/>
      <c r="O19" s="23"/>
      <c r="P19" s="23"/>
    </row>
    <row r="20" spans="1:16" ht="15.75">
      <c r="A20" s="66">
        <f>A17+1</f>
        <v>2028</v>
      </c>
      <c r="B20" s="31"/>
      <c r="C20" s="44">
        <f>C17+(C17*'Step 1 - Assumptions'!$C$20)</f>
        <v>34882.142516705171</v>
      </c>
      <c r="D20" s="44">
        <f>D17+E20</f>
        <v>172571.39506090811</v>
      </c>
      <c r="E20" s="44">
        <f>E17+(E17*'Step 1 - Assumptions'!$C$18)</f>
        <v>6157.3207495213119</v>
      </c>
      <c r="F20" s="44"/>
      <c r="G20" s="44">
        <f t="shared" si="0"/>
        <v>41039.463266226485</v>
      </c>
      <c r="H20" s="72">
        <f>G20/(1+'Step 1 - Assumptions'!$C$26)^(A20-'Step 1 - Assumptions'!$C$6)</f>
        <v>41039.463266226485</v>
      </c>
      <c r="I20" s="31"/>
      <c r="J20" s="46" t="str">
        <f>IF(AND('Step 1 - Assumptions'!$C$9&gt;0,'Step 1 - Assumptions'!$C$10&gt;=11),('Step 1 - Assumptions'!$C$15*'Step 1 - Assumptions'!$C$13)/'Step 1 - Assumptions'!$C$10,"n/a")</f>
        <v>n/a</v>
      </c>
      <c r="K20" s="47">
        <f t="shared" si="2"/>
        <v>2640</v>
      </c>
      <c r="L20" s="44"/>
      <c r="M20" s="44">
        <f t="shared" ref="M20:M29" si="5">IF(ISNUMBER(J20),K20+J20,K20)</f>
        <v>2640</v>
      </c>
      <c r="N20" s="72">
        <f>M20/(1+'Step 1 - Assumptions'!$C$26)^(A20-'Step 1 - Assumptions'!$C$6)</f>
        <v>2640</v>
      </c>
      <c r="O20" s="23"/>
      <c r="P20" s="23"/>
    </row>
    <row r="21" spans="1:16" ht="15.75">
      <c r="A21" s="66">
        <f>A20+1</f>
        <v>2029</v>
      </c>
      <c r="B21" s="31"/>
      <c r="C21" s="44">
        <f>C20+(C20*'Step 1 - Assumptions'!$C$20)</f>
        <v>36211.152146591638</v>
      </c>
      <c r="D21" s="44">
        <f>D20+E21</f>
        <v>178956.5366781617</v>
      </c>
      <c r="E21" s="44">
        <f>E20+(E20*'Step 1 - Assumptions'!$C$18)</f>
        <v>6385.1416172536001</v>
      </c>
      <c r="F21" s="44"/>
      <c r="G21" s="43">
        <f t="shared" si="0"/>
        <v>42596.293763845235</v>
      </c>
      <c r="H21" s="71">
        <f>G21/(1+'Step 1 - Assumptions'!$C$26)^(A21-'Step 1 - Assumptions'!$C$6)</f>
        <v>42596.293763845235</v>
      </c>
      <c r="I21" s="31"/>
      <c r="J21" s="46" t="str">
        <f>IF(AND('Step 1 - Assumptions'!$C$9&gt;0,'Step 1 - Assumptions'!$C$10&gt;=12),('Step 1 - Assumptions'!$C$15*'Step 1 - Assumptions'!$C$13)/'Step 1 - Assumptions'!$C$10,"n/a")</f>
        <v>n/a</v>
      </c>
      <c r="K21" s="47">
        <f t="shared" si="2"/>
        <v>2640</v>
      </c>
      <c r="L21" s="44"/>
      <c r="M21" s="43">
        <f t="shared" si="5"/>
        <v>2640</v>
      </c>
      <c r="N21" s="71">
        <f>M21/(1+'Step 1 - Assumptions'!$C$26)^(A21-'Step 1 - Assumptions'!$C$6)</f>
        <v>2640</v>
      </c>
      <c r="O21" s="23"/>
      <c r="P21" s="23"/>
    </row>
    <row r="22" spans="1:16" ht="15.75">
      <c r="A22" s="66">
        <f t="shared" ref="A22:A29" si="6">A21+1</f>
        <v>2030</v>
      </c>
      <c r="B22" s="31"/>
      <c r="C22" s="44">
        <f>C21+(C21*'Step 1 - Assumptions'!$C$20)</f>
        <v>37590.797043376777</v>
      </c>
      <c r="D22" s="44">
        <f t="shared" ref="D22:D29" si="7">D21+E22</f>
        <v>185577.92853525368</v>
      </c>
      <c r="E22" s="44">
        <f>E21+(E21*'Step 1 - Assumptions'!$C$18)</f>
        <v>6621.3918570919832</v>
      </c>
      <c r="F22" s="44"/>
      <c r="G22" s="43">
        <f t="shared" si="0"/>
        <v>44212.188900468762</v>
      </c>
      <c r="H22" s="71">
        <f>G22/(1+'Step 1 - Assumptions'!$C$26)^(A22-'Step 1 - Assumptions'!$C$6)</f>
        <v>44212.188900468762</v>
      </c>
      <c r="I22" s="31"/>
      <c r="J22" s="46" t="str">
        <f>IF(AND('Step 1 - Assumptions'!$C$9&gt;0,'Step 1 - Assumptions'!$C$10&gt;=13),('Step 1 - Assumptions'!$C$15*'Step 1 - Assumptions'!$C$13)/'Step 1 - Assumptions'!$C$10,"n/a")</f>
        <v>n/a</v>
      </c>
      <c r="K22" s="47">
        <f t="shared" si="2"/>
        <v>2640</v>
      </c>
      <c r="L22" s="44"/>
      <c r="M22" s="43">
        <f t="shared" si="5"/>
        <v>2640</v>
      </c>
      <c r="N22" s="71">
        <f>M22/(1+'Step 1 - Assumptions'!$C$26)^(A22-'Step 1 - Assumptions'!$C$6)</f>
        <v>2640</v>
      </c>
      <c r="O22" s="23"/>
      <c r="P22" s="23"/>
    </row>
    <row r="23" spans="1:16" ht="15.75">
      <c r="A23" s="66">
        <f t="shared" si="6"/>
        <v>2031</v>
      </c>
      <c r="B23" s="31"/>
      <c r="C23" s="44">
        <f>C22+(C22*'Step 1 - Assumptions'!$C$20)</f>
        <v>39023.006410729431</v>
      </c>
      <c r="D23" s="44">
        <f t="shared" si="7"/>
        <v>192444.31189105808</v>
      </c>
      <c r="E23" s="44">
        <f>E22+(E22*'Step 1 - Assumptions'!$C$18)</f>
        <v>6866.3833558043862</v>
      </c>
      <c r="F23" s="44"/>
      <c r="G23" s="43">
        <f t="shared" si="0"/>
        <v>45889.389766533815</v>
      </c>
      <c r="H23" s="71">
        <f>G23/(1+'Step 1 - Assumptions'!$C$26)^(A23-'Step 1 - Assumptions'!$C$6)</f>
        <v>45889.389766533815</v>
      </c>
      <c r="I23" s="31"/>
      <c r="J23" s="46" t="str">
        <f>IF(AND('Step 1 - Assumptions'!$C$9&gt;0,'Step 1 - Assumptions'!$C$10&gt;=14),('Step 1 - Assumptions'!$C$15*'Step 1 - Assumptions'!$C$13)/'Step 1 - Assumptions'!$C$10,"n/a")</f>
        <v>n/a</v>
      </c>
      <c r="K23" s="47">
        <f t="shared" si="2"/>
        <v>2640</v>
      </c>
      <c r="L23" s="44"/>
      <c r="M23" s="43">
        <f t="shared" si="5"/>
        <v>2640</v>
      </c>
      <c r="N23" s="71">
        <f>M23/(1+'Step 1 - Assumptions'!$C$26)^(A23-'Step 1 - Assumptions'!$C$6)</f>
        <v>2640</v>
      </c>
      <c r="O23" s="23"/>
      <c r="P23" s="23"/>
    </row>
    <row r="24" spans="1:16" ht="15.75">
      <c r="A24" s="66">
        <f t="shared" si="6"/>
        <v>2032</v>
      </c>
      <c r="B24" s="31"/>
      <c r="C24" s="44">
        <f>C23+(C23*'Step 1 - Assumptions'!$C$20)</f>
        <v>40509.782954978225</v>
      </c>
      <c r="D24" s="44">
        <f t="shared" si="7"/>
        <v>199564.75143102722</v>
      </c>
      <c r="E24" s="44">
        <f>E23+(E23*'Step 1 - Assumptions'!$C$18)</f>
        <v>7120.4395399691484</v>
      </c>
      <c r="F24" s="44"/>
      <c r="G24" s="43">
        <f t="shared" si="0"/>
        <v>47630.222494947375</v>
      </c>
      <c r="H24" s="71">
        <f>G24/(1+'Step 1 - Assumptions'!$C$26)^(A24-'Step 1 - Assumptions'!$C$6)</f>
        <v>47630.222494947375</v>
      </c>
      <c r="I24" s="31"/>
      <c r="J24" s="46" t="str">
        <f>IF(AND('Step 1 - Assumptions'!$C$9&gt;0,'Step 1 - Assumptions'!$C$10&gt;=15),('Step 1 - Assumptions'!$C$15*'Step 1 - Assumptions'!$C$13)/'Step 1 - Assumptions'!$C$10,"n/a")</f>
        <v>n/a</v>
      </c>
      <c r="K24" s="47">
        <f t="shared" si="2"/>
        <v>2640</v>
      </c>
      <c r="L24" s="44"/>
      <c r="M24" s="43">
        <f t="shared" si="5"/>
        <v>2640</v>
      </c>
      <c r="N24" s="71">
        <f>M24/(1+'Step 1 - Assumptions'!$C$26)^(A24-'Step 1 - Assumptions'!$C$6)</f>
        <v>2640</v>
      </c>
      <c r="O24" s="23"/>
      <c r="P24" s="23"/>
    </row>
    <row r="25" spans="1:16" ht="15.75">
      <c r="A25" s="66">
        <f t="shared" si="6"/>
        <v>2033</v>
      </c>
      <c r="B25" s="31"/>
      <c r="C25" s="44">
        <f>C24+(C24*'Step 1 - Assumptions'!$C$20)</f>
        <v>42053.205685562898</v>
      </c>
      <c r="D25" s="44">
        <f t="shared" si="7"/>
        <v>206948.64723397524</v>
      </c>
      <c r="E25" s="44">
        <f>E24+(E24*'Step 1 - Assumptions'!$C$18)</f>
        <v>7383.8958029480073</v>
      </c>
      <c r="F25" s="44"/>
      <c r="G25" s="43">
        <f t="shared" si="0"/>
        <v>49437.101488510903</v>
      </c>
      <c r="H25" s="71">
        <f>G25/(1+'Step 1 - Assumptions'!$C$26)^(A25-'Step 1 - Assumptions'!$C$6)</f>
        <v>49437.101488510903</v>
      </c>
      <c r="I25" s="31"/>
      <c r="J25" s="46" t="str">
        <f>IF(AND('Step 1 - Assumptions'!$C$9&gt;0,'Step 1 - Assumptions'!$C$10&gt;=16),('Step 1 - Assumptions'!$C$15*'Step 1 - Assumptions'!$C$13)/'Step 1 - Assumptions'!$C$10,"n/a")</f>
        <v>n/a</v>
      </c>
      <c r="K25" s="47">
        <f t="shared" si="2"/>
        <v>2640</v>
      </c>
      <c r="L25" s="44"/>
      <c r="M25" s="43">
        <f t="shared" si="5"/>
        <v>2640</v>
      </c>
      <c r="N25" s="71">
        <f>M25/(1+'Step 1 - Assumptions'!$C$26)^(A25-'Step 1 - Assumptions'!$C$6)</f>
        <v>2640</v>
      </c>
      <c r="O25" s="23"/>
      <c r="P25" s="23"/>
    </row>
    <row r="26" spans="1:16" ht="15.75">
      <c r="A26" s="66">
        <f t="shared" si="6"/>
        <v>2034</v>
      </c>
      <c r="B26" s="31"/>
      <c r="C26" s="44">
        <f>C25+(C25*'Step 1 - Assumptions'!$C$20)</f>
        <v>43655.432822182847</v>
      </c>
      <c r="D26" s="44">
        <f t="shared" si="7"/>
        <v>214605.74718163232</v>
      </c>
      <c r="E26" s="44">
        <f>E25+(E25*'Step 1 - Assumptions'!$C$18)</f>
        <v>7657.0999476570832</v>
      </c>
      <c r="F26" s="44"/>
      <c r="G26" s="43">
        <f t="shared" si="0"/>
        <v>51312.532769839934</v>
      </c>
      <c r="H26" s="71">
        <f>G26/(1+'Step 1 - Assumptions'!$C$26)^(A26-'Step 1 - Assumptions'!$C$6)</f>
        <v>51312.532769839934</v>
      </c>
      <c r="I26" s="31"/>
      <c r="J26" s="46" t="str">
        <f>IF(AND('Step 1 - Assumptions'!$C$9&gt;0,'Step 1 - Assumptions'!$C$10&gt;=17),('Step 1 - Assumptions'!$C$15*'Step 1 - Assumptions'!$C$13)/'Step 1 - Assumptions'!$C$10,"n/a")</f>
        <v>n/a</v>
      </c>
      <c r="K26" s="47">
        <f t="shared" si="2"/>
        <v>2640</v>
      </c>
      <c r="L26" s="44"/>
      <c r="M26" s="43">
        <f t="shared" si="5"/>
        <v>2640</v>
      </c>
      <c r="N26" s="71">
        <f>M26/(1+'Step 1 - Assumptions'!$C$26)^(A26-'Step 1 - Assumptions'!$C$6)</f>
        <v>2640</v>
      </c>
      <c r="O26" s="23"/>
      <c r="P26" s="23"/>
    </row>
    <row r="27" spans="1:16" ht="15.75">
      <c r="A27" s="66">
        <f t="shared" si="6"/>
        <v>2035</v>
      </c>
      <c r="B27" s="31"/>
      <c r="C27" s="44">
        <f>C26+(C26*'Step 1 - Assumptions'!$C$20)</f>
        <v>45318.704812708012</v>
      </c>
      <c r="D27" s="44">
        <f t="shared" si="7"/>
        <v>222546.15982735271</v>
      </c>
      <c r="E27" s="44">
        <f>E26+(E26*'Step 1 - Assumptions'!$C$18)</f>
        <v>7940.4126457203956</v>
      </c>
      <c r="F27" s="44"/>
      <c r="G27" s="43">
        <f t="shared" si="0"/>
        <v>53259.117458428409</v>
      </c>
      <c r="H27" s="71">
        <f>G27/(1+'Step 1 - Assumptions'!$C$26)^(A27-'Step 1 - Assumptions'!$C$6)</f>
        <v>53259.117458428409</v>
      </c>
      <c r="I27" s="31"/>
      <c r="J27" s="46" t="str">
        <f>IF(AND('Step 1 - Assumptions'!$C$9&gt;0,'Step 1 - Assumptions'!$C$10&gt;=18),('Step 1 - Assumptions'!$C$15*'Step 1 - Assumptions'!$C$13)/'Step 1 - Assumptions'!$C$10,"n/a")</f>
        <v>n/a</v>
      </c>
      <c r="K27" s="47">
        <f t="shared" si="2"/>
        <v>2640</v>
      </c>
      <c r="L27" s="44"/>
      <c r="M27" s="43">
        <f t="shared" si="5"/>
        <v>2640</v>
      </c>
      <c r="N27" s="71">
        <f>M27/(1+'Step 1 - Assumptions'!$C$26)^(A27-'Step 1 - Assumptions'!$C$6)</f>
        <v>2640</v>
      </c>
      <c r="O27" s="23"/>
      <c r="P27" s="23"/>
    </row>
    <row r="28" spans="1:16" ht="15.75">
      <c r="A28" s="66">
        <f t="shared" si="6"/>
        <v>2036</v>
      </c>
      <c r="B28" s="31"/>
      <c r="C28" s="44">
        <f>C27+(C27*'Step 1 - Assumptions'!$C$20)</f>
        <v>47045.347466072191</v>
      </c>
      <c r="D28" s="44">
        <f t="shared" si="7"/>
        <v>230780.36774096475</v>
      </c>
      <c r="E28" s="44">
        <f>E27+(E27*'Step 1 - Assumptions'!$C$18)</f>
        <v>8234.2079136120501</v>
      </c>
      <c r="F28" s="44"/>
      <c r="G28" s="43">
        <f t="shared" si="0"/>
        <v>55279.555379684243</v>
      </c>
      <c r="H28" s="71">
        <f>G28/(1+'Step 1 - Assumptions'!$C$26)^(A28-'Step 1 - Assumptions'!$C$6)</f>
        <v>55279.555379684243</v>
      </c>
      <c r="I28" s="31"/>
      <c r="J28" s="46" t="str">
        <f>IF(AND('Step 1 - Assumptions'!$C$9&gt;0,'Step 1 - Assumptions'!$C$10&gt;=19),('Step 1 - Assumptions'!$C$15*'Step 1 - Assumptions'!$C$13)/'Step 1 - Assumptions'!$C$10,"n/a")</f>
        <v>n/a</v>
      </c>
      <c r="K28" s="47">
        <f t="shared" si="2"/>
        <v>2640</v>
      </c>
      <c r="L28" s="44"/>
      <c r="M28" s="43">
        <f t="shared" si="5"/>
        <v>2640</v>
      </c>
      <c r="N28" s="71">
        <f>M28/(1+'Step 1 - Assumptions'!$C$26)^(A28-'Step 1 - Assumptions'!$C$6)</f>
        <v>2640</v>
      </c>
      <c r="O28" s="23"/>
      <c r="P28" s="23"/>
    </row>
    <row r="29" spans="1:16" ht="15.75">
      <c r="A29" s="66">
        <f t="shared" si="6"/>
        <v>2037</v>
      </c>
      <c r="B29" s="31"/>
      <c r="C29" s="44">
        <f>C28+(C28*'Step 1 - Assumptions'!$C$20)</f>
        <v>48837.775204529542</v>
      </c>
      <c r="D29" s="44">
        <f t="shared" si="7"/>
        <v>239319.24134738045</v>
      </c>
      <c r="E29" s="44">
        <f>E28+(E28*'Step 1 - Assumptions'!$C$18)</f>
        <v>8538.8736064156965</v>
      </c>
      <c r="F29" s="44"/>
      <c r="G29" s="43">
        <f t="shared" si="0"/>
        <v>57376.64881094524</v>
      </c>
      <c r="H29" s="71">
        <f>G29/(1+'Step 1 - Assumptions'!$C$26)^(A29-'Step 1 - Assumptions'!$C$6)</f>
        <v>57376.64881094524</v>
      </c>
      <c r="I29" s="31"/>
      <c r="J29" s="46" t="str">
        <f>IF(AND('Step 1 - Assumptions'!$C$9&gt;0,'Step 1 - Assumptions'!$C$10&gt;=20),('Step 1 - Assumptions'!$C$15*'Step 1 - Assumptions'!$C$13)/'Step 1 - Assumptions'!$C$10,"n/a")</f>
        <v>n/a</v>
      </c>
      <c r="K29" s="47">
        <f t="shared" si="2"/>
        <v>2640</v>
      </c>
      <c r="L29" s="44"/>
      <c r="M29" s="43">
        <f t="shared" si="5"/>
        <v>2640</v>
      </c>
      <c r="N29" s="71">
        <f>M29/(1+'Step 1 - Assumptions'!$C$26)^(A29-'Step 1 - Assumptions'!$C$6)</f>
        <v>2640</v>
      </c>
      <c r="O29" s="23"/>
      <c r="P29" s="23"/>
    </row>
    <row r="30" spans="1:16" ht="15.75">
      <c r="A30" s="67" t="s">
        <v>22</v>
      </c>
      <c r="B30" s="31"/>
      <c r="C30" s="31"/>
      <c r="D30" s="31"/>
      <c r="E30" s="31"/>
      <c r="F30" s="31"/>
      <c r="G30" s="31"/>
      <c r="H30" s="71">
        <f>SUM(H20:H29)</f>
        <v>488032.51409943041</v>
      </c>
      <c r="I30" s="31"/>
      <c r="J30" s="48"/>
      <c r="K30" s="49"/>
      <c r="L30" s="31"/>
      <c r="M30" s="31"/>
      <c r="N30" s="71">
        <f>SUM(N20:N29)</f>
        <v>26400</v>
      </c>
      <c r="O30" s="23"/>
      <c r="P30" s="23"/>
    </row>
    <row r="31" spans="1:16" ht="11.25" customHeight="1">
      <c r="A31" s="31"/>
      <c r="B31" s="31"/>
      <c r="C31" s="31"/>
      <c r="D31" s="31"/>
      <c r="E31" s="31"/>
      <c r="F31" s="31"/>
      <c r="G31" s="31"/>
      <c r="H31" s="31"/>
      <c r="I31" s="31"/>
      <c r="J31" s="48"/>
      <c r="K31" s="49"/>
      <c r="L31" s="31"/>
      <c r="M31" s="31"/>
      <c r="N31" s="31"/>
      <c r="O31" s="23"/>
      <c r="P31" s="23"/>
    </row>
    <row r="32" spans="1:16" ht="15.75">
      <c r="A32" s="66">
        <f>A29+1</f>
        <v>2038</v>
      </c>
      <c r="B32" s="31"/>
      <c r="C32" s="44">
        <f>C29+(C29*'Step 1 - Assumptions'!$C$20)</f>
        <v>50698.49443982212</v>
      </c>
      <c r="D32" s="44">
        <f>D29+E32</f>
        <v>248174.05327723353</v>
      </c>
      <c r="E32" s="44">
        <f>E29+(E29*'Step 1 - Assumptions'!$C$18)</f>
        <v>8854.8119298530764</v>
      </c>
      <c r="F32" s="44"/>
      <c r="G32" s="44">
        <f t="shared" si="0"/>
        <v>59553.306369675192</v>
      </c>
      <c r="H32" s="72">
        <f>G32/(1+'Step 1 - Assumptions'!$C$26)^(A32-'Step 1 - Assumptions'!$C$6)</f>
        <v>59553.306369675192</v>
      </c>
      <c r="I32" s="31"/>
      <c r="J32" s="46" t="str">
        <f>IF(AND('Step 1 - Assumptions'!$C$9&gt;0,'Step 1 - Assumptions'!$C$10&gt;=21),('Step 1 - Assumptions'!$C$15*'Step 1 - Assumptions'!$C$13)/'Step 1 - Assumptions'!$C$10,"n/a")</f>
        <v>n/a</v>
      </c>
      <c r="K32" s="47">
        <f t="shared" si="2"/>
        <v>2640</v>
      </c>
      <c r="L32" s="44"/>
      <c r="M32" s="44">
        <f t="shared" ref="M32:M41" si="8">IF(ISNUMBER(J32),K32+J32,K32)</f>
        <v>2640</v>
      </c>
      <c r="N32" s="72">
        <f>M32/(1+'Step 1 - Assumptions'!$C$26)^(A32-'Step 1 - Assumptions'!$C$6)</f>
        <v>2640</v>
      </c>
      <c r="O32" s="23"/>
      <c r="P32" s="23"/>
    </row>
    <row r="33" spans="1:16" ht="15.75">
      <c r="A33" s="66">
        <f>A32+1</f>
        <v>2039</v>
      </c>
      <c r="B33" s="31"/>
      <c r="C33" s="44">
        <f>C32+(C32*'Step 1 - Assumptions'!$C$20)</f>
        <v>52630.107077979344</v>
      </c>
      <c r="D33" s="44">
        <f>D32+E33</f>
        <v>257366.233541614</v>
      </c>
      <c r="E33" s="44">
        <f>E32+(E32*'Step 1 - Assumptions'!$C$20)</f>
        <v>9192.1802643804785</v>
      </c>
      <c r="F33" s="44"/>
      <c r="G33" s="43">
        <f t="shared" si="0"/>
        <v>61822.287342359821</v>
      </c>
      <c r="H33" s="71">
        <f>G33/(1+'Step 1 - Assumptions'!$C$26)^(A33-'Step 1 - Assumptions'!$C$6)</f>
        <v>61822.287342359821</v>
      </c>
      <c r="I33" s="31"/>
      <c r="J33" s="46" t="str">
        <f>IF(AND('Step 1 - Assumptions'!$C$9&gt;0,'Step 1 - Assumptions'!$C$10&gt;=22),('Step 1 - Assumptions'!$C$15*'Step 1 - Assumptions'!$C$13)/'Step 1 - Assumptions'!$C$10,"n/a")</f>
        <v>n/a</v>
      </c>
      <c r="K33" s="47">
        <f t="shared" si="2"/>
        <v>2640</v>
      </c>
      <c r="L33" s="44"/>
      <c r="M33" s="43">
        <f t="shared" si="8"/>
        <v>2640</v>
      </c>
      <c r="N33" s="71">
        <f>M33/(1+'Step 1 - Assumptions'!$C$26)^(A33-'Step 1 - Assumptions'!$C$6)</f>
        <v>2640</v>
      </c>
      <c r="O33" s="23"/>
      <c r="P33" s="23"/>
    </row>
    <row r="34" spans="1:16" ht="15.75">
      <c r="A34" s="66">
        <f t="shared" ref="A34:A41" si="9">A33+1</f>
        <v>2040</v>
      </c>
      <c r="B34" s="31"/>
      <c r="C34" s="44">
        <f>C33+(C33*'Step 1 - Assumptions'!$C$20)</f>
        <v>54635.314157650355</v>
      </c>
      <c r="D34" s="44">
        <f t="shared" ref="D34:D41" si="10">D33+E34</f>
        <v>266908.63587406737</v>
      </c>
      <c r="E34" s="44">
        <f>E33+(E33*'Step 1 - Assumptions'!$C$20)</f>
        <v>9542.4023324533755</v>
      </c>
      <c r="F34" s="44"/>
      <c r="G34" s="43">
        <f t="shared" si="0"/>
        <v>64177.716490103732</v>
      </c>
      <c r="H34" s="71">
        <f>G34/(1+'Step 1 - Assumptions'!$C$26)^(A34-'Step 1 - Assumptions'!$C$6)</f>
        <v>64177.716490103732</v>
      </c>
      <c r="I34" s="31"/>
      <c r="J34" s="46" t="str">
        <f>IF(AND('Step 1 - Assumptions'!$C$9&gt;0,'Step 1 - Assumptions'!$C$10&gt;=23),('Step 1 - Assumptions'!$C$15*'Step 1 - Assumptions'!$C$13)/'Step 1 - Assumptions'!$C$10,"n/a")</f>
        <v>n/a</v>
      </c>
      <c r="K34" s="47">
        <f t="shared" si="2"/>
        <v>2640</v>
      </c>
      <c r="L34" s="44"/>
      <c r="M34" s="43">
        <f t="shared" si="8"/>
        <v>2640</v>
      </c>
      <c r="N34" s="71">
        <f>M34/(1+'Step 1 - Assumptions'!$C$26)^(A34-'Step 1 - Assumptions'!$C$6)</f>
        <v>2640</v>
      </c>
      <c r="O34" s="23"/>
      <c r="P34" s="23"/>
    </row>
    <row r="35" spans="1:16" ht="15.75">
      <c r="A35" s="66">
        <f t="shared" si="9"/>
        <v>2041</v>
      </c>
      <c r="B35" s="31"/>
      <c r="C35" s="44">
        <f>C34+(C34*'Step 1 - Assumptions'!$C$20)</f>
        <v>56716.919627056835</v>
      </c>
      <c r="D35" s="44">
        <f t="shared" si="10"/>
        <v>276814.60373538721</v>
      </c>
      <c r="E35" s="44">
        <f>E34+(E34*'Step 1 - Assumptions'!$C$20)</f>
        <v>9905.9678613198485</v>
      </c>
      <c r="F35" s="44"/>
      <c r="G35" s="43">
        <f t="shared" si="0"/>
        <v>66622.887488376684</v>
      </c>
      <c r="H35" s="71">
        <f>G35/(1+'Step 1 - Assumptions'!$C$26)^(A35-'Step 1 - Assumptions'!$C$6)</f>
        <v>66622.887488376684</v>
      </c>
      <c r="I35" s="31"/>
      <c r="J35" s="46" t="str">
        <f>IF(AND('Step 1 - Assumptions'!$C$9&gt;0,'Step 1 - Assumptions'!$C$10&gt;=24),('Step 1 - Assumptions'!$C$15*'Step 1 - Assumptions'!$C$13)/'Step 1 - Assumptions'!$C$10,"n/a")</f>
        <v>n/a</v>
      </c>
      <c r="K35" s="47">
        <f t="shared" si="2"/>
        <v>2640</v>
      </c>
      <c r="L35" s="44"/>
      <c r="M35" s="43">
        <f t="shared" si="8"/>
        <v>2640</v>
      </c>
      <c r="N35" s="71">
        <f>M35/(1+'Step 1 - Assumptions'!$C$26)^(A35-'Step 1 - Assumptions'!$C$6)</f>
        <v>2640</v>
      </c>
      <c r="O35" s="23"/>
      <c r="P35" s="23"/>
    </row>
    <row r="36" spans="1:16" ht="15.75">
      <c r="A36" s="66">
        <f t="shared" si="9"/>
        <v>2042</v>
      </c>
      <c r="B36" s="31"/>
      <c r="C36" s="44">
        <f>C35+(C35*'Step 1 - Assumptions'!$C$20)</f>
        <v>58877.834264847697</v>
      </c>
      <c r="D36" s="44">
        <f t="shared" si="10"/>
        <v>287097.98897222336</v>
      </c>
      <c r="E36" s="44">
        <f>E35+(E35*'Step 1 - Assumptions'!$C$20)</f>
        <v>10283.385236836135</v>
      </c>
      <c r="F36" s="44"/>
      <c r="G36" s="43">
        <f t="shared" si="0"/>
        <v>69161.219501683838</v>
      </c>
      <c r="H36" s="71">
        <f>G36/(1+'Step 1 - Assumptions'!$C$26)^(A36-'Step 1 - Assumptions'!$C$6)</f>
        <v>69161.219501683838</v>
      </c>
      <c r="I36" s="31"/>
      <c r="J36" s="46" t="str">
        <f>IF(AND('Step 1 - Assumptions'!$C$9&gt;0,'Step 1 - Assumptions'!$C$10&gt;=25),('Step 1 - Assumptions'!$C$15*'Step 1 - Assumptions'!$C$13)/'Step 1 - Assumptions'!$C$10,"n/a")</f>
        <v>n/a</v>
      </c>
      <c r="K36" s="47">
        <f t="shared" si="2"/>
        <v>2640</v>
      </c>
      <c r="L36" s="44"/>
      <c r="M36" s="43">
        <f t="shared" si="8"/>
        <v>2640</v>
      </c>
      <c r="N36" s="71">
        <f>M36/(1+'Step 1 - Assumptions'!$C$26)^(A36-'Step 1 - Assumptions'!$C$6)</f>
        <v>2640</v>
      </c>
      <c r="O36" s="23"/>
      <c r="P36" s="23"/>
    </row>
    <row r="37" spans="1:16" ht="15.75">
      <c r="A37" s="66">
        <f t="shared" si="9"/>
        <v>2043</v>
      </c>
      <c r="B37" s="31"/>
      <c r="C37" s="44">
        <f>C36+(C36*'Step 1 - Assumptions'!$C$20)</f>
        <v>61121.079750338395</v>
      </c>
      <c r="D37" s="44">
        <f t="shared" si="10"/>
        <v>297773.17118658294</v>
      </c>
      <c r="E37" s="44">
        <f>E36+(E36*'Step 1 - Assumptions'!$C$20)</f>
        <v>10675.182214359591</v>
      </c>
      <c r="F37" s="44"/>
      <c r="G37" s="43">
        <f t="shared" si="0"/>
        <v>71796.261964697987</v>
      </c>
      <c r="H37" s="71">
        <f>G37/(1+'Step 1 - Assumptions'!$C$26)^(A37-'Step 1 - Assumptions'!$C$6)</f>
        <v>71796.261964697987</v>
      </c>
      <c r="I37" s="31"/>
      <c r="J37" s="46" t="str">
        <f>IF(AND('Step 1 - Assumptions'!$C$9&gt;0,'Step 1 - Assumptions'!$C$10&gt;=26),('Step 1 - Assumptions'!$C$15*'Step 1 - Assumptions'!$C$13)/'Step 1 - Assumptions'!$C$10,"n/a")</f>
        <v>n/a</v>
      </c>
      <c r="K37" s="47">
        <f t="shared" si="2"/>
        <v>2640</v>
      </c>
      <c r="L37" s="44"/>
      <c r="M37" s="43">
        <f t="shared" si="8"/>
        <v>2640</v>
      </c>
      <c r="N37" s="71">
        <f>M37/(1+'Step 1 - Assumptions'!$C$26)^(A37-'Step 1 - Assumptions'!$C$6)</f>
        <v>2640</v>
      </c>
      <c r="O37" s="23"/>
      <c r="P37" s="23"/>
    </row>
    <row r="38" spans="1:16" ht="15.75">
      <c r="A38" s="66">
        <f t="shared" si="9"/>
        <v>2044</v>
      </c>
      <c r="B38" s="31"/>
      <c r="C38" s="44">
        <f>C37+(C37*'Step 1 - Assumptions'!$C$20)</f>
        <v>63449.79288882629</v>
      </c>
      <c r="D38" s="44">
        <f t="shared" si="10"/>
        <v>308855.07784330961</v>
      </c>
      <c r="E38" s="44">
        <f>E37+(E37*'Step 1 - Assumptions'!$C$20)</f>
        <v>11081.906656726691</v>
      </c>
      <c r="F38" s="44"/>
      <c r="G38" s="43">
        <f t="shared" si="0"/>
        <v>74531.699545552983</v>
      </c>
      <c r="H38" s="71">
        <f>G38/(1+'Step 1 - Assumptions'!$C$26)^(A38-'Step 1 - Assumptions'!$C$6)</f>
        <v>74531.699545552983</v>
      </c>
      <c r="I38" s="31"/>
      <c r="J38" s="46" t="str">
        <f>IF(AND('Step 1 - Assumptions'!$C$9&gt;0,'Step 1 - Assumptions'!$C$10&gt;=27),('Step 1 - Assumptions'!$C$15*'Step 1 - Assumptions'!$C$13)/'Step 1 - Assumptions'!$C$10,"n/a")</f>
        <v>n/a</v>
      </c>
      <c r="K38" s="47">
        <f t="shared" si="2"/>
        <v>2640</v>
      </c>
      <c r="L38" s="44"/>
      <c r="M38" s="43">
        <f t="shared" si="8"/>
        <v>2640</v>
      </c>
      <c r="N38" s="71">
        <f>M38/(1+'Step 1 - Assumptions'!$C$26)^(A38-'Step 1 - Assumptions'!$C$6)</f>
        <v>2640</v>
      </c>
      <c r="O38" s="23"/>
      <c r="P38" s="23"/>
    </row>
    <row r="39" spans="1:16" ht="15.75">
      <c r="A39" s="66">
        <f t="shared" si="9"/>
        <v>2045</v>
      </c>
      <c r="B39" s="31"/>
      <c r="C39" s="44">
        <f>C38+(C38*'Step 1 - Assumptions'!$C$20)</f>
        <v>65867.229997890565</v>
      </c>
      <c r="D39" s="44">
        <f t="shared" si="10"/>
        <v>320359.20514365757</v>
      </c>
      <c r="E39" s="44">
        <f>E38+(E38*'Step 1 - Assumptions'!$C$20)</f>
        <v>11504.127300347978</v>
      </c>
      <c r="F39" s="44"/>
      <c r="G39" s="43">
        <f t="shared" si="0"/>
        <v>77371.357298238538</v>
      </c>
      <c r="H39" s="71">
        <f>G39/(1+'Step 1 - Assumptions'!$C$26)^(A39-'Step 1 - Assumptions'!$C$6)</f>
        <v>77371.357298238538</v>
      </c>
      <c r="I39" s="31"/>
      <c r="J39" s="46" t="str">
        <f>IF(AND('Step 1 - Assumptions'!$C$9&gt;0,'Step 1 - Assumptions'!$C$10&gt;=28),('Step 1 - Assumptions'!$C$15*'Step 1 - Assumptions'!$C$13)/'Step 1 - Assumptions'!$C$10,"n/a")</f>
        <v>n/a</v>
      </c>
      <c r="K39" s="47">
        <f t="shared" si="2"/>
        <v>2640</v>
      </c>
      <c r="L39" s="44"/>
      <c r="M39" s="43">
        <f t="shared" si="8"/>
        <v>2640</v>
      </c>
      <c r="N39" s="71">
        <f>M39/(1+'Step 1 - Assumptions'!$C$26)^(A39-'Step 1 - Assumptions'!$C$6)</f>
        <v>2640</v>
      </c>
      <c r="O39" s="23"/>
      <c r="P39" s="23"/>
    </row>
    <row r="40" spans="1:16" ht="15.75">
      <c r="A40" s="66">
        <f t="shared" si="9"/>
        <v>2046</v>
      </c>
      <c r="B40" s="31"/>
      <c r="C40" s="44">
        <f>C39+(C39*'Step 1 - Assumptions'!$C$20)</f>
        <v>68376.771460810196</v>
      </c>
      <c r="D40" s="44">
        <f t="shared" si="10"/>
        <v>332301.63969414879</v>
      </c>
      <c r="E40" s="44">
        <f>E39+(E39*'Step 1 - Assumptions'!$C$20)</f>
        <v>11942.434550491236</v>
      </c>
      <c r="F40" s="44"/>
      <c r="G40" s="43">
        <f t="shared" si="0"/>
        <v>80319.20601130143</v>
      </c>
      <c r="H40" s="71">
        <f>G40/(1+'Step 1 - Assumptions'!$C$26)^(A40-'Step 1 - Assumptions'!$C$6)</f>
        <v>80319.20601130143</v>
      </c>
      <c r="I40" s="31"/>
      <c r="J40" s="46" t="str">
        <f>IF(AND('Step 1 - Assumptions'!$C$9&gt;0,'Step 1 - Assumptions'!$C$10&gt;=29),('Step 1 - Assumptions'!$C$15*'Step 1 - Assumptions'!$C$13)/'Step 1 - Assumptions'!$C$10,"n/a")</f>
        <v>n/a</v>
      </c>
      <c r="K40" s="47">
        <f t="shared" si="2"/>
        <v>2640</v>
      </c>
      <c r="L40" s="44"/>
      <c r="M40" s="43">
        <f t="shared" si="8"/>
        <v>2640</v>
      </c>
      <c r="N40" s="71">
        <f>M40/(1+'Step 1 - Assumptions'!$C$26)^(A40-'Step 1 - Assumptions'!$C$6)</f>
        <v>2640</v>
      </c>
      <c r="O40" s="23"/>
      <c r="P40" s="23"/>
    </row>
    <row r="41" spans="1:16" ht="15.75">
      <c r="A41" s="66">
        <f t="shared" si="9"/>
        <v>2047</v>
      </c>
      <c r="B41" s="31"/>
      <c r="C41" s="44">
        <f>C40+(C40*'Step 1 - Assumptions'!$C$20)</f>
        <v>70981.926453467066</v>
      </c>
      <c r="D41" s="44">
        <f t="shared" si="10"/>
        <v>344699.08100101375</v>
      </c>
      <c r="E41" s="44">
        <f>E40+(E40*'Step 1 - Assumptions'!$C$20)</f>
        <v>12397.441306864952</v>
      </c>
      <c r="F41" s="44"/>
      <c r="G41" s="43">
        <f t="shared" si="0"/>
        <v>83379.36776033201</v>
      </c>
      <c r="H41" s="71">
        <f>G41/(1+'Step 1 - Assumptions'!$C$26)^(A41-'Step 1 - Assumptions'!$C$6)</f>
        <v>83379.36776033201</v>
      </c>
      <c r="I41" s="31"/>
      <c r="J41" s="46" t="str">
        <f>IF(AND('Step 1 - Assumptions'!$C$9&gt;0,'Step 1 - Assumptions'!$C$10&gt;=30),('Step 1 - Assumptions'!$C$15*'Step 1 - Assumptions'!$C$13)/'Step 1 - Assumptions'!$C$10,"n/a")</f>
        <v>n/a</v>
      </c>
      <c r="K41" s="47">
        <f t="shared" si="2"/>
        <v>2640</v>
      </c>
      <c r="L41" s="44"/>
      <c r="M41" s="43">
        <f t="shared" si="8"/>
        <v>2640</v>
      </c>
      <c r="N41" s="71">
        <f>M41/(1+'Step 1 - Assumptions'!$C$26)^(A41-'Step 1 - Assumptions'!$C$6)</f>
        <v>2640</v>
      </c>
      <c r="O41" s="23"/>
      <c r="P41" s="23"/>
    </row>
    <row r="42" spans="1:16" ht="15.75">
      <c r="A42" s="67" t="s">
        <v>23</v>
      </c>
      <c r="B42" s="31"/>
      <c r="C42" s="31"/>
      <c r="D42" s="31"/>
      <c r="E42" s="31"/>
      <c r="F42" s="31"/>
      <c r="G42" s="31"/>
      <c r="H42" s="71">
        <f>SUM(H32:H41)</f>
        <v>708735.30977232219</v>
      </c>
      <c r="I42" s="31"/>
      <c r="J42" s="31"/>
      <c r="K42" s="31"/>
      <c r="L42" s="31"/>
      <c r="M42" s="31"/>
      <c r="N42" s="71">
        <f>SUM(N32:N41)</f>
        <v>26400</v>
      </c>
      <c r="O42" s="23"/>
      <c r="P42" s="23"/>
    </row>
    <row r="43" spans="1:16" ht="15">
      <c r="A43" s="31"/>
      <c r="B43" s="31"/>
      <c r="C43" s="31"/>
      <c r="D43" s="31"/>
      <c r="E43" s="31"/>
      <c r="F43" s="31"/>
      <c r="G43" s="31"/>
      <c r="H43" s="31"/>
      <c r="I43" s="31"/>
      <c r="J43" s="31"/>
      <c r="K43" s="31"/>
      <c r="L43" s="31"/>
      <c r="M43" s="31"/>
      <c r="N43" s="31"/>
      <c r="O43" s="23"/>
      <c r="P43" s="23"/>
    </row>
    <row r="44" spans="1:16" ht="15.75">
      <c r="A44" s="67" t="s">
        <v>24</v>
      </c>
      <c r="B44" s="31"/>
      <c r="C44" s="31"/>
      <c r="D44" s="31"/>
      <c r="E44" s="31"/>
      <c r="F44" s="31"/>
      <c r="G44" s="31"/>
      <c r="H44" s="72">
        <f>H18+H30+H42</f>
        <v>1528802.4366793381</v>
      </c>
      <c r="I44" s="32">
        <f>I18+I30+I42</f>
        <v>0</v>
      </c>
      <c r="J44" s="32"/>
      <c r="K44" s="32"/>
      <c r="L44" s="32"/>
      <c r="M44" s="32"/>
      <c r="N44" s="72">
        <f>N18+N30+N42</f>
        <v>240812.11442558706</v>
      </c>
      <c r="O44" s="23"/>
      <c r="P44" s="23"/>
    </row>
    <row r="45" spans="1:16">
      <c r="A45" s="23"/>
      <c r="B45" s="23"/>
      <c r="C45" s="23"/>
      <c r="D45" s="23"/>
      <c r="E45" s="23"/>
      <c r="F45" s="23"/>
      <c r="G45" s="23"/>
      <c r="H45" s="23"/>
      <c r="I45" s="23"/>
      <c r="J45" s="23"/>
      <c r="K45" s="23"/>
      <c r="L45" s="23"/>
      <c r="M45" s="23"/>
      <c r="N45" s="23"/>
      <c r="O45" s="23"/>
      <c r="P45" s="23"/>
    </row>
    <row r="46" spans="1:16">
      <c r="A46" s="23"/>
      <c r="B46" s="23"/>
      <c r="C46" s="23"/>
      <c r="D46" s="23"/>
      <c r="E46" s="23"/>
      <c r="F46" s="23"/>
      <c r="G46" s="23"/>
      <c r="H46" s="23"/>
      <c r="I46" s="23"/>
      <c r="J46" s="23"/>
      <c r="K46" s="23"/>
      <c r="L46" s="23"/>
      <c r="M46" s="23"/>
      <c r="N46" s="23"/>
      <c r="O46" s="23"/>
      <c r="P46" s="23"/>
    </row>
  </sheetData>
  <sheetProtection algorithmName="SHA-512" hashValue="lmBlb1be2QQDLujq5iGFLJcrS5jCHfNkRl0cj/XmMrCiB3Dhxd6OvGabnAFmiyDOZfSGVYMDALhRTmxAUB/snQ==" saltValue="F0mrRCwAVgdk7x2eJxah3Q==" spinCount="100000" sheet="1" objects="1" scenarios="1"/>
  <customSheetViews>
    <customSheetView guid="{4F8E946C-576B-4F5C-9A70-E90BD55E70A4}" scale="80" fitToPage="1" printArea="1">
      <selection activeCell="M28" activeCellId="1" sqref="G28 M28"/>
      <pageMargins left="0.7" right="0.7" top="0.75" bottom="0.75" header="0.3" footer="0.3"/>
      <pageSetup scale="48" orientation="portrait" horizontalDpi="4294967292" verticalDpi="4294967292" r:id="rId1"/>
    </customSheetView>
  </customSheetViews>
  <mergeCells count="7">
    <mergeCell ref="A2:C2"/>
    <mergeCell ref="D2:N2"/>
    <mergeCell ref="A1:N1"/>
    <mergeCell ref="C6:E6"/>
    <mergeCell ref="J6:K6"/>
    <mergeCell ref="D4:N4"/>
    <mergeCell ref="A4:C4"/>
  </mergeCells>
  <phoneticPr fontId="2" type="noConversion"/>
  <pageMargins left="0.7" right="0.7" top="0.75" bottom="0.75" header="0.3" footer="0.3"/>
  <pageSetup scale="48" orientation="portrait" horizontalDpi="4294967292" verticalDpi="4294967292"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38"/>
  <sheetViews>
    <sheetView workbookViewId="0">
      <selection activeCell="C5" sqref="C5"/>
    </sheetView>
  </sheetViews>
  <sheetFormatPr defaultColWidth="9.140625" defaultRowHeight="15"/>
  <cols>
    <col min="1" max="1" width="9.140625" style="1"/>
    <col min="2" max="2" width="35.7109375" style="1" customWidth="1"/>
    <col min="3" max="3" width="35.140625" style="42" customWidth="1"/>
    <col min="4" max="4" width="35.7109375" style="1" customWidth="1"/>
    <col min="5" max="5" width="35.7109375" style="59" customWidth="1"/>
    <col min="6" max="16384" width="9.140625" style="1"/>
  </cols>
  <sheetData>
    <row r="1" spans="2:15" ht="95.1" customHeight="1">
      <c r="B1" s="94" t="s">
        <v>75</v>
      </c>
      <c r="C1" s="94"/>
      <c r="D1" s="94"/>
      <c r="E1" s="94"/>
      <c r="F1" s="52"/>
      <c r="G1" s="52"/>
      <c r="H1" s="52"/>
      <c r="I1" s="52"/>
      <c r="J1" s="52"/>
      <c r="K1" s="52"/>
      <c r="L1" s="52"/>
      <c r="M1" s="52"/>
      <c r="N1" s="52"/>
      <c r="O1" s="52"/>
    </row>
    <row r="2" spans="2:15" ht="14.25">
      <c r="B2" s="23"/>
      <c r="C2" s="23"/>
      <c r="D2" s="23"/>
      <c r="E2" s="23"/>
      <c r="F2" s="23"/>
      <c r="G2" s="23"/>
      <c r="H2" s="23"/>
      <c r="I2" s="23"/>
      <c r="J2" s="23"/>
      <c r="K2" s="23"/>
      <c r="L2" s="23"/>
      <c r="M2" s="23"/>
      <c r="N2" s="23"/>
      <c r="O2" s="23"/>
    </row>
    <row r="3" spans="2:15" ht="80.25" customHeight="1">
      <c r="B3" s="127" t="s">
        <v>70</v>
      </c>
      <c r="C3" s="127"/>
      <c r="D3" s="98" t="s">
        <v>71</v>
      </c>
      <c r="E3" s="98"/>
      <c r="F3" s="53"/>
      <c r="G3" s="53"/>
      <c r="H3" s="53"/>
      <c r="I3" s="53"/>
      <c r="J3" s="53"/>
      <c r="K3" s="53"/>
      <c r="L3" s="53"/>
      <c r="M3" s="53"/>
      <c r="N3" s="53"/>
      <c r="O3" s="53"/>
    </row>
    <row r="4" spans="2:15" ht="15.75">
      <c r="B4" s="31"/>
      <c r="C4" s="76"/>
      <c r="D4" s="31"/>
      <c r="E4" s="77"/>
      <c r="F4" s="23"/>
    </row>
    <row r="5" spans="2:15" ht="45.75" customHeight="1">
      <c r="B5" s="78" t="s">
        <v>29</v>
      </c>
      <c r="C5" s="79">
        <f>'Step 1 - Assumptions'!C7</f>
        <v>150000</v>
      </c>
      <c r="D5" s="80" t="s">
        <v>30</v>
      </c>
      <c r="E5" s="70">
        <f>COUNTIF(D7:D36,"&lt;"&amp;C5)</f>
        <v>10</v>
      </c>
      <c r="F5" s="23"/>
    </row>
    <row r="6" spans="2:15" s="42" customFormat="1" ht="65.25" customHeight="1" thickBot="1">
      <c r="B6" s="64" t="s">
        <v>2</v>
      </c>
      <c r="C6" s="68" t="s">
        <v>28</v>
      </c>
      <c r="D6" s="68" t="s">
        <v>31</v>
      </c>
      <c r="E6" s="69" t="s">
        <v>72</v>
      </c>
      <c r="F6" s="51"/>
    </row>
    <row r="7" spans="2:15">
      <c r="B7" s="65">
        <f>'Step 1 - Assumptions'!C6</f>
        <v>2018</v>
      </c>
      <c r="C7" s="54">
        <f>'Step 3 - Benefit Cost Analysis'!G8-'Step 3 - Benefit Cost Analysis'!M8</f>
        <v>-50962.422885117412</v>
      </c>
      <c r="D7" s="54">
        <f>C7</f>
        <v>-50962.422885117412</v>
      </c>
      <c r="E7" s="55">
        <f>$C$5</f>
        <v>150000</v>
      </c>
      <c r="F7" s="23"/>
    </row>
    <row r="8" spans="2:15">
      <c r="B8" s="66">
        <f>B7+1</f>
        <v>2019</v>
      </c>
      <c r="C8" s="54">
        <f>'Step 3 - Benefit Cost Analysis'!G9-'Step 3 - Benefit Cost Analysis'!M9</f>
        <v>4391.9771148825967</v>
      </c>
      <c r="D8" s="54">
        <f>D7+C8</f>
        <v>-46570.445770234815</v>
      </c>
      <c r="E8" s="55">
        <f t="shared" ref="E8:E36" si="0">$C$5</f>
        <v>150000</v>
      </c>
      <c r="F8" s="23"/>
    </row>
    <row r="9" spans="2:15">
      <c r="B9" s="66">
        <f t="shared" ref="B9:B36" si="1">B8+1</f>
        <v>2020</v>
      </c>
      <c r="C9" s="54">
        <f>'Step 3 - Benefit Cost Analysis'!G10-'Step 3 - Benefit Cost Analysis'!M10</f>
        <v>5505.4957548825951</v>
      </c>
      <c r="D9" s="54">
        <f t="shared" ref="D9:D36" si="2">D8+C9</f>
        <v>-41064.950015352224</v>
      </c>
      <c r="E9" s="55">
        <f t="shared" si="0"/>
        <v>150000</v>
      </c>
      <c r="F9" s="23"/>
    </row>
    <row r="10" spans="2:15" s="50" customFormat="1">
      <c r="B10" s="66">
        <f t="shared" si="1"/>
        <v>2021</v>
      </c>
      <c r="C10" s="56">
        <f>'Step 3 - Benefit Cost Analysis'!G11-'Step 3 - Benefit Cost Analysis'!M11</f>
        <v>6661.2587470665967</v>
      </c>
      <c r="D10" s="54">
        <f t="shared" si="2"/>
        <v>-34403.691268285627</v>
      </c>
      <c r="E10" s="55">
        <f t="shared" si="0"/>
        <v>150000</v>
      </c>
      <c r="F10" s="23"/>
    </row>
    <row r="11" spans="2:15">
      <c r="B11" s="66">
        <f t="shared" si="1"/>
        <v>2022</v>
      </c>
      <c r="C11" s="54">
        <f>'Step 3 - Benefit Cost Analysis'!G12-'Step 3 - Benefit Cost Analysis'!M12</f>
        <v>7860.8689150568025</v>
      </c>
      <c r="D11" s="54">
        <f t="shared" si="2"/>
        <v>-26542.822353228825</v>
      </c>
      <c r="E11" s="55">
        <f t="shared" si="0"/>
        <v>150000</v>
      </c>
      <c r="F11" s="23"/>
    </row>
    <row r="12" spans="2:15">
      <c r="B12" s="66">
        <f t="shared" si="1"/>
        <v>2023</v>
      </c>
      <c r="C12" s="54">
        <f>'Step 3 - Benefit Cost Analysis'!G13-'Step 3 - Benefit Cost Analysis'!M13</f>
        <v>31428.4127877836</v>
      </c>
      <c r="D12" s="54">
        <f t="shared" si="2"/>
        <v>4885.5904345547751</v>
      </c>
      <c r="E12" s="55">
        <f t="shared" si="0"/>
        <v>150000</v>
      </c>
      <c r="F12" s="23"/>
    </row>
    <row r="13" spans="2:15">
      <c r="B13" s="66">
        <f t="shared" si="1"/>
        <v>2024</v>
      </c>
      <c r="C13" s="54">
        <f>'Step 3 - Benefit Cost Analysis'!G14-'Step 3 - Benefit Cost Analysis'!M14</f>
        <v>32720.771367111738</v>
      </c>
      <c r="D13" s="54">
        <f t="shared" si="2"/>
        <v>37606.361801666513</v>
      </c>
      <c r="E13" s="55">
        <f t="shared" si="0"/>
        <v>150000</v>
      </c>
      <c r="F13" s="23"/>
    </row>
    <row r="14" spans="2:15">
      <c r="B14" s="66">
        <f t="shared" si="1"/>
        <v>2025</v>
      </c>
      <c r="C14" s="54">
        <f>'Step 3 - Benefit Cost Analysis'!G15-'Step 3 - Benefit Cost Analysis'!M15</f>
        <v>34062.15983424049</v>
      </c>
      <c r="D14" s="54">
        <f t="shared" si="2"/>
        <v>71668.521635907004</v>
      </c>
      <c r="E14" s="55">
        <f t="shared" si="0"/>
        <v>150000</v>
      </c>
      <c r="F14" s="23"/>
    </row>
    <row r="15" spans="2:15">
      <c r="B15" s="66">
        <f t="shared" si="1"/>
        <v>2026</v>
      </c>
      <c r="C15" s="54">
        <f>'Step 3 - Benefit Cost Analysis'!G16-'Step 3 - Benefit Cost Analysis'!M16</f>
        <v>35454.438495854389</v>
      </c>
      <c r="D15" s="54">
        <f t="shared" si="2"/>
        <v>107122.96013176139</v>
      </c>
      <c r="E15" s="55">
        <f t="shared" si="0"/>
        <v>150000</v>
      </c>
      <c r="F15" s="23"/>
    </row>
    <row r="16" spans="2:15">
      <c r="B16" s="66">
        <f t="shared" si="1"/>
        <v>2027</v>
      </c>
      <c r="C16" s="54">
        <f>'Step 3 - Benefit Cost Analysis'!G17-'Step 3 - Benefit Cost Analysis'!M17</f>
        <v>36899.538250237165</v>
      </c>
      <c r="D16" s="54">
        <f>D15+C16</f>
        <v>144022.49838199856</v>
      </c>
      <c r="E16" s="55">
        <f t="shared" si="0"/>
        <v>150000</v>
      </c>
      <c r="F16" s="23"/>
    </row>
    <row r="17" spans="2:6">
      <c r="B17" s="66">
        <f t="shared" si="1"/>
        <v>2028</v>
      </c>
      <c r="C17" s="54">
        <f>'Step 3 - Benefit Cost Analysis'!G20-'Step 3 - Benefit Cost Analysis'!M20</f>
        <v>38399.463266226485</v>
      </c>
      <c r="D17" s="54">
        <f t="shared" si="2"/>
        <v>182421.96164822506</v>
      </c>
      <c r="E17" s="55">
        <f t="shared" si="0"/>
        <v>150000</v>
      </c>
      <c r="F17" s="23"/>
    </row>
    <row r="18" spans="2:6">
      <c r="B18" s="66">
        <f t="shared" si="1"/>
        <v>2029</v>
      </c>
      <c r="C18" s="54">
        <f>'Step 3 - Benefit Cost Analysis'!G21-'Step 3 - Benefit Cost Analysis'!M21</f>
        <v>39956.293763845235</v>
      </c>
      <c r="D18" s="54">
        <f t="shared" si="2"/>
        <v>222378.25541207028</v>
      </c>
      <c r="E18" s="55">
        <f t="shared" si="0"/>
        <v>150000</v>
      </c>
      <c r="F18" s="23"/>
    </row>
    <row r="19" spans="2:6" s="58" customFormat="1">
      <c r="B19" s="66">
        <f t="shared" si="1"/>
        <v>2030</v>
      </c>
      <c r="C19" s="57">
        <f>'Step 3 - Benefit Cost Analysis'!G22-'Step 3 - Benefit Cost Analysis'!M22</f>
        <v>41572.188900468762</v>
      </c>
      <c r="D19" s="54">
        <f t="shared" si="2"/>
        <v>263950.44431253907</v>
      </c>
      <c r="E19" s="55">
        <f t="shared" si="0"/>
        <v>150000</v>
      </c>
      <c r="F19" s="81"/>
    </row>
    <row r="20" spans="2:6">
      <c r="B20" s="66">
        <f t="shared" si="1"/>
        <v>2031</v>
      </c>
      <c r="C20" s="54">
        <f>'Step 3 - Benefit Cost Analysis'!G23-'Step 3 - Benefit Cost Analysis'!M23</f>
        <v>43249.389766533815</v>
      </c>
      <c r="D20" s="54">
        <f t="shared" si="2"/>
        <v>307199.83407907287</v>
      </c>
      <c r="E20" s="55">
        <f t="shared" si="0"/>
        <v>150000</v>
      </c>
      <c r="F20" s="23"/>
    </row>
    <row r="21" spans="2:6">
      <c r="B21" s="66">
        <f t="shared" si="1"/>
        <v>2032</v>
      </c>
      <c r="C21" s="54">
        <f>'Step 3 - Benefit Cost Analysis'!G24-'Step 3 - Benefit Cost Analysis'!M24</f>
        <v>44990.222494947375</v>
      </c>
      <c r="D21" s="54">
        <f t="shared" si="2"/>
        <v>352190.05657402024</v>
      </c>
      <c r="E21" s="55">
        <f t="shared" si="0"/>
        <v>150000</v>
      </c>
      <c r="F21" s="23"/>
    </row>
    <row r="22" spans="2:6">
      <c r="B22" s="66">
        <f t="shared" si="1"/>
        <v>2033</v>
      </c>
      <c r="C22" s="54">
        <f>'Step 3 - Benefit Cost Analysis'!G25-'Step 3 - Benefit Cost Analysis'!M25</f>
        <v>46797.101488510903</v>
      </c>
      <c r="D22" s="54">
        <f t="shared" si="2"/>
        <v>398987.15806253115</v>
      </c>
      <c r="E22" s="55">
        <f t="shared" si="0"/>
        <v>150000</v>
      </c>
      <c r="F22" s="23"/>
    </row>
    <row r="23" spans="2:6">
      <c r="B23" s="66">
        <f t="shared" si="1"/>
        <v>2034</v>
      </c>
      <c r="C23" s="54">
        <f>'Step 3 - Benefit Cost Analysis'!G26-'Step 3 - Benefit Cost Analysis'!M26</f>
        <v>48672.532769839934</v>
      </c>
      <c r="D23" s="54">
        <f t="shared" si="2"/>
        <v>447659.69083237107</v>
      </c>
      <c r="E23" s="55">
        <f t="shared" si="0"/>
        <v>150000</v>
      </c>
      <c r="F23" s="23"/>
    </row>
    <row r="24" spans="2:6">
      <c r="B24" s="66">
        <f t="shared" si="1"/>
        <v>2035</v>
      </c>
      <c r="C24" s="54">
        <f>'Step 3 - Benefit Cost Analysis'!G27-'Step 3 - Benefit Cost Analysis'!M27</f>
        <v>50619.117458428409</v>
      </c>
      <c r="D24" s="54">
        <f t="shared" si="2"/>
        <v>498278.8082907995</v>
      </c>
      <c r="E24" s="55">
        <f t="shared" si="0"/>
        <v>150000</v>
      </c>
      <c r="F24" s="23"/>
    </row>
    <row r="25" spans="2:6">
      <c r="B25" s="66">
        <f t="shared" si="1"/>
        <v>2036</v>
      </c>
      <c r="C25" s="54">
        <f>'Step 3 - Benefit Cost Analysis'!G28-'Step 3 - Benefit Cost Analysis'!M28</f>
        <v>52639.555379684243</v>
      </c>
      <c r="D25" s="54">
        <f t="shared" si="2"/>
        <v>550918.3636704837</v>
      </c>
      <c r="E25" s="55">
        <f t="shared" si="0"/>
        <v>150000</v>
      </c>
      <c r="F25" s="23"/>
    </row>
    <row r="26" spans="2:6">
      <c r="B26" s="66">
        <f t="shared" si="1"/>
        <v>2037</v>
      </c>
      <c r="C26" s="54">
        <f>'Step 3 - Benefit Cost Analysis'!G29-'Step 3 - Benefit Cost Analysis'!M29</f>
        <v>54736.64881094524</v>
      </c>
      <c r="D26" s="54">
        <f t="shared" si="2"/>
        <v>605655.01248142892</v>
      </c>
      <c r="E26" s="55">
        <f t="shared" si="0"/>
        <v>150000</v>
      </c>
      <c r="F26" s="23"/>
    </row>
    <row r="27" spans="2:6">
      <c r="B27" s="66">
        <f t="shared" si="1"/>
        <v>2038</v>
      </c>
      <c r="C27" s="54">
        <f>'Step 3 - Benefit Cost Analysis'!G32-'Step 3 - Benefit Cost Analysis'!M32</f>
        <v>56913.306369675192</v>
      </c>
      <c r="D27" s="54">
        <f t="shared" si="2"/>
        <v>662568.31885110412</v>
      </c>
      <c r="E27" s="55">
        <f t="shared" si="0"/>
        <v>150000</v>
      </c>
      <c r="F27" s="23"/>
    </row>
    <row r="28" spans="2:6">
      <c r="B28" s="66">
        <f t="shared" si="1"/>
        <v>2039</v>
      </c>
      <c r="C28" s="54">
        <f>'Step 3 - Benefit Cost Analysis'!G33-'Step 3 - Benefit Cost Analysis'!M33</f>
        <v>59182.287342359821</v>
      </c>
      <c r="D28" s="54">
        <f t="shared" si="2"/>
        <v>721750.6061934639</v>
      </c>
      <c r="E28" s="55">
        <f t="shared" si="0"/>
        <v>150000</v>
      </c>
      <c r="F28" s="23"/>
    </row>
    <row r="29" spans="2:6">
      <c r="B29" s="66">
        <f t="shared" si="1"/>
        <v>2040</v>
      </c>
      <c r="C29" s="54">
        <f>'Step 3 - Benefit Cost Analysis'!G34-'Step 3 - Benefit Cost Analysis'!M34</f>
        <v>61537.716490103732</v>
      </c>
      <c r="D29" s="54">
        <f t="shared" si="2"/>
        <v>783288.32268356765</v>
      </c>
      <c r="E29" s="55">
        <f t="shared" si="0"/>
        <v>150000</v>
      </c>
      <c r="F29" s="23"/>
    </row>
    <row r="30" spans="2:6">
      <c r="B30" s="66">
        <f t="shared" si="1"/>
        <v>2041</v>
      </c>
      <c r="C30" s="54">
        <f>'Step 3 - Benefit Cost Analysis'!G35-'Step 3 - Benefit Cost Analysis'!M35</f>
        <v>63982.887488376684</v>
      </c>
      <c r="D30" s="54">
        <f t="shared" si="2"/>
        <v>847271.21017194435</v>
      </c>
      <c r="E30" s="55">
        <f t="shared" si="0"/>
        <v>150000</v>
      </c>
      <c r="F30" s="23"/>
    </row>
    <row r="31" spans="2:6">
      <c r="B31" s="66">
        <f t="shared" si="1"/>
        <v>2042</v>
      </c>
      <c r="C31" s="54">
        <f>'Step 3 - Benefit Cost Analysis'!G36-'Step 3 - Benefit Cost Analysis'!M36</f>
        <v>66521.219501683838</v>
      </c>
      <c r="D31" s="54">
        <f t="shared" si="2"/>
        <v>913792.42967362818</v>
      </c>
      <c r="E31" s="55">
        <f t="shared" si="0"/>
        <v>150000</v>
      </c>
      <c r="F31" s="23"/>
    </row>
    <row r="32" spans="2:6">
      <c r="B32" s="66">
        <f t="shared" si="1"/>
        <v>2043</v>
      </c>
      <c r="C32" s="54">
        <f>'Step 3 - Benefit Cost Analysis'!G37-'Step 3 - Benefit Cost Analysis'!M37</f>
        <v>69156.261964697987</v>
      </c>
      <c r="D32" s="54">
        <f t="shared" si="2"/>
        <v>982948.69163832616</v>
      </c>
      <c r="E32" s="55">
        <f t="shared" si="0"/>
        <v>150000</v>
      </c>
      <c r="F32" s="23"/>
    </row>
    <row r="33" spans="2:6">
      <c r="B33" s="66">
        <f t="shared" si="1"/>
        <v>2044</v>
      </c>
      <c r="C33" s="54">
        <f>'Step 3 - Benefit Cost Analysis'!G38-'Step 3 - Benefit Cost Analysis'!M38</f>
        <v>71891.699545552983</v>
      </c>
      <c r="D33" s="54">
        <f t="shared" si="2"/>
        <v>1054840.3911838792</v>
      </c>
      <c r="E33" s="55">
        <f t="shared" si="0"/>
        <v>150000</v>
      </c>
      <c r="F33" s="23"/>
    </row>
    <row r="34" spans="2:6">
      <c r="B34" s="66">
        <f t="shared" si="1"/>
        <v>2045</v>
      </c>
      <c r="C34" s="54">
        <f>'Step 3 - Benefit Cost Analysis'!G39-'Step 3 - Benefit Cost Analysis'!M39</f>
        <v>74731.357298238538</v>
      </c>
      <c r="D34" s="54">
        <f t="shared" si="2"/>
        <v>1129571.7484821177</v>
      </c>
      <c r="E34" s="55">
        <f t="shared" si="0"/>
        <v>150000</v>
      </c>
      <c r="F34" s="23"/>
    </row>
    <row r="35" spans="2:6">
      <c r="B35" s="66">
        <f t="shared" si="1"/>
        <v>2046</v>
      </c>
      <c r="C35" s="54">
        <f>'Step 3 - Benefit Cost Analysis'!G40-'Step 3 - Benefit Cost Analysis'!M40</f>
        <v>77679.20601130143</v>
      </c>
      <c r="D35" s="54">
        <f t="shared" si="2"/>
        <v>1207250.954493419</v>
      </c>
      <c r="E35" s="55">
        <f t="shared" si="0"/>
        <v>150000</v>
      </c>
      <c r="F35" s="23"/>
    </row>
    <row r="36" spans="2:6">
      <c r="B36" s="66">
        <f t="shared" si="1"/>
        <v>2047</v>
      </c>
      <c r="C36" s="54">
        <f>'Step 3 - Benefit Cost Analysis'!G41-'Step 3 - Benefit Cost Analysis'!M41</f>
        <v>80739.36776033201</v>
      </c>
      <c r="D36" s="54">
        <f t="shared" si="2"/>
        <v>1287990.3222537511</v>
      </c>
      <c r="E36" s="55">
        <f t="shared" si="0"/>
        <v>150000</v>
      </c>
      <c r="F36" s="23"/>
    </row>
    <row r="37" spans="2:6">
      <c r="B37" s="23"/>
      <c r="C37" s="51"/>
      <c r="D37" s="23"/>
      <c r="E37" s="82"/>
      <c r="F37" s="23"/>
    </row>
    <row r="38" spans="2:6">
      <c r="B38" s="23"/>
      <c r="C38" s="51"/>
      <c r="D38" s="23"/>
      <c r="E38" s="82"/>
      <c r="F38" s="23"/>
    </row>
  </sheetData>
  <sheetProtection algorithmName="SHA-512" hashValue="ani9UMO9z9iOQHVqj0CIqI6esXD5mC0MyYukPIcnl4olvmXvALSMAf03pTZfn7ML7u2puAnSL0I1H2bWN4v/0w==" saltValue="2ebomqD8VP+YF/8geLHLJw==" spinCount="100000" sheet="1" objects="1" scenarios="1"/>
  <customSheetViews>
    <customSheetView guid="{4F8E946C-576B-4F5C-9A70-E90BD55E70A4}" fitToPage="1">
      <selection activeCell="I1" sqref="I1"/>
      <pageMargins left="0.7" right="0.7" top="0.75" bottom="0.75" header="0.3" footer="0.3"/>
      <pageSetup scale="97" orientation="portrait" r:id="rId1"/>
    </customSheetView>
  </customSheetViews>
  <mergeCells count="3">
    <mergeCell ref="B1:E1"/>
    <mergeCell ref="D3:E3"/>
    <mergeCell ref="B3:C3"/>
  </mergeCells>
  <phoneticPr fontId="2" type="noConversion"/>
  <conditionalFormatting sqref="D7:D36">
    <cfRule type="cellIs" dxfId="0" priority="2" operator="lessThan">
      <formula>$C$5</formula>
    </cfRule>
  </conditionalFormatting>
  <pageMargins left="0.7" right="0.7" top="0.75" bottom="0.75" header="0.3" footer="0.3"/>
  <pageSetup scale="97"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
  <sheetViews>
    <sheetView workbookViewId="0"/>
  </sheetViews>
  <sheetFormatPr defaultColWidth="8.85546875" defaultRowHeight="15"/>
  <sheetData>
    <row r="1" spans="1:1">
      <c r="A1" t="s">
        <v>33</v>
      </c>
    </row>
    <row r="2" spans="1:1">
      <c r="A2" t="s">
        <v>34</v>
      </c>
    </row>
    <row r="3" spans="1:1">
      <c r="A3" t="s">
        <v>35</v>
      </c>
    </row>
    <row r="4" spans="1:1">
      <c r="A4" t="s">
        <v>36</v>
      </c>
    </row>
  </sheetData>
  <sheetProtection password="CD72" sheet="1" objects="1" scenarios="1"/>
  <customSheetViews>
    <customSheetView guid="{4F8E946C-576B-4F5C-9A70-E90BD55E70A4}">
      <selection activeCell="K18" sqref="K18"/>
      <pageMargins left="0.7" right="0.7" top="0.75" bottom="0.75" header="0.3" footer="0.3"/>
    </customSheetView>
  </customSheetView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Step 1 - Assumptions</vt:lpstr>
      <vt:lpstr>Step 2 - Results</vt:lpstr>
      <vt:lpstr>Step 3 - Benefit Cost Analysis</vt:lpstr>
      <vt:lpstr>Step 4 Break-even</vt:lpstr>
      <vt:lpstr>payment frequency</vt:lpstr>
      <vt:lpstr>'Step 1 - Assumptions'!Print_Area</vt:lpstr>
      <vt:lpstr>'Step 3 - Benefit Cost Analysis'!Print_Area</vt:lpstr>
      <vt:lpstr>'Step 4 Break-even'!Print_Area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Marc Farfel</cp:lastModifiedBy>
  <cp:lastPrinted>2013-02-01T02:24:43Z</cp:lastPrinted>
  <dcterms:created xsi:type="dcterms:W3CDTF">2012-01-20T02:35:40Z</dcterms:created>
  <dcterms:modified xsi:type="dcterms:W3CDTF">2019-05-26T01:31:36Z</dcterms:modified>
</cp:coreProperties>
</file>